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codeName="ThisWorkbook" defaultThemeVersion="124226"/>
  <mc:AlternateContent xmlns:mc="http://schemas.openxmlformats.org/markup-compatibility/2006">
    <mc:Choice Requires="x15">
      <x15ac:absPath xmlns:x15ac="http://schemas.microsoft.com/office/spreadsheetml/2010/11/ac" url="C:\Users\willaW\Desktop\"/>
    </mc:Choice>
  </mc:AlternateContent>
  <xr:revisionPtr revIDLastSave="0" documentId="8_{4E63C64E-5227-4EBB-9DBA-8102767C9434}" xr6:coauthVersionLast="47" xr6:coauthVersionMax="47" xr10:uidLastSave="{00000000-0000-0000-0000-000000000000}"/>
  <workbookProtection workbookAlgorithmName="SHA-512" workbookHashValue="14z53zdxr1YgBQMHKn8evGuMWZo4Qq8Bo2pzjMRevmh+S19KNivXOlAIqvRYp2OhT9Q3gFhCXSJfakN3frz9HQ==" workbookSaltValue="eztIi8e7wp9uIkZFWbb4EA==" workbookSpinCount="100000" lockStructure="1"/>
  <bookViews>
    <workbookView xWindow="-120" yWindow="-120" windowWidth="20730" windowHeight="11160" xr2:uid="{00000000-000D-0000-FFFF-FFFF00000000}"/>
  </bookViews>
  <sheets>
    <sheet name="Residential" sheetId="9" r:id="rId1"/>
    <sheet name="Remittance" sheetId="10" r:id="rId2"/>
    <sheet name="Rates" sheetId="3" state="hidden" r:id="rId3"/>
    <sheet name="Tables" sheetId="4" state="hidden" r:id="rId4"/>
  </sheets>
  <definedNames>
    <definedName name="_xlnm._FilterDatabase" localSheetId="3" hidden="1">Tables!#REF!</definedName>
    <definedName name="CalculateType" localSheetId="1">Remittance!#REF!</definedName>
    <definedName name="CalculateType">Residential!$I$10:$I$14</definedName>
    <definedName name="OTPType" localSheetId="1">Remittance!#REF!</definedName>
    <definedName name="OTPType">Residential!$I$6:$I$9</definedName>
    <definedName name="_xlnm.Print_Area" localSheetId="2">Rates!$B$1:$C$34</definedName>
    <definedName name="_xlnm.Print_Area" localSheetId="1">Remittance!$A$1:$K$34</definedName>
    <definedName name="_xlnm.Print_Area" localSheetId="0">Residential!$A$1:$H$37</definedName>
    <definedName name="Transactions" localSheetId="3">Tables!#REF!</definedName>
    <definedName name="TransType" localSheetId="3">Tables!#REF!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 i="9" l="1"/>
  <c r="B8" i="10" s="1"/>
  <c r="D44" i="4"/>
  <c r="D60" i="4" s="1"/>
  <c r="C53" i="4"/>
  <c r="C51" i="4"/>
  <c r="C50" i="4"/>
  <c r="C49" i="4"/>
  <c r="C48" i="4"/>
  <c r="C47" i="4"/>
  <c r="B51" i="4"/>
  <c r="B50" i="4"/>
  <c r="B49" i="4"/>
  <c r="B48" i="4"/>
  <c r="B47" i="4"/>
  <c r="C36" i="4" l="1"/>
  <c r="I10" i="10" l="1"/>
  <c r="G17" i="10"/>
  <c r="G16" i="10"/>
  <c r="G11" i="10" l="1"/>
  <c r="L13" i="9" l="1"/>
  <c r="L12" i="9"/>
  <c r="K8" i="9" l="1"/>
  <c r="K9" i="9"/>
  <c r="C14" i="9" s="1"/>
  <c r="I16" i="9"/>
  <c r="C10" i="3"/>
  <c r="C9" i="3"/>
  <c r="C27" i="3" l="1"/>
  <c r="C16" i="3" s="1"/>
  <c r="C5" i="4"/>
  <c r="C6" i="4" s="1"/>
  <c r="K10" i="9"/>
  <c r="C18" i="4"/>
  <c r="C32" i="4"/>
  <c r="D11" i="4" l="1"/>
  <c r="D8" i="4"/>
  <c r="D7" i="4"/>
  <c r="D10" i="4"/>
  <c r="D9" i="4"/>
  <c r="I17" i="9"/>
  <c r="I18" i="9" s="1"/>
  <c r="D20" i="9"/>
  <c r="C16" i="9"/>
  <c r="I22" i="9"/>
  <c r="C12" i="9"/>
  <c r="C33" i="4"/>
  <c r="C19" i="4"/>
  <c r="C45" i="4"/>
  <c r="C46" i="4" s="1"/>
  <c r="D48" i="4" l="1"/>
  <c r="D51" i="4"/>
  <c r="D50" i="4"/>
  <c r="D49" i="4"/>
  <c r="D47" i="4"/>
  <c r="D22" i="4"/>
  <c r="D20" i="4"/>
  <c r="D24" i="4"/>
  <c r="D23" i="4"/>
  <c r="D21" i="4"/>
  <c r="D15" i="10"/>
  <c r="D17" i="9"/>
  <c r="B20" i="10" s="1"/>
  <c r="D26" i="9"/>
  <c r="D19" i="9"/>
  <c r="D21" i="9"/>
  <c r="B26" i="10" s="1"/>
  <c r="D18" i="9"/>
  <c r="B21" i="10" s="1"/>
  <c r="D30" i="9"/>
  <c r="D12" i="4"/>
  <c r="E19" i="9" l="1"/>
  <c r="B22" i="10"/>
  <c r="E18" i="9"/>
  <c r="E21" i="10" s="1"/>
  <c r="D23" i="9"/>
  <c r="D22" i="9"/>
  <c r="D13" i="4"/>
  <c r="D14" i="4" s="1"/>
  <c r="D31" i="9"/>
  <c r="D33" i="9"/>
  <c r="D32" i="9"/>
  <c r="D52" i="4"/>
  <c r="D53" i="4" s="1"/>
  <c r="D61" i="4" s="1"/>
  <c r="D26" i="4"/>
  <c r="D27" i="4" s="1"/>
  <c r="D28" i="4" s="1"/>
  <c r="D54" i="4" s="1"/>
  <c r="D56" i="4" s="1"/>
  <c r="D63" i="4" l="1"/>
  <c r="D55" i="4"/>
  <c r="E22" i="10"/>
  <c r="E22" i="9"/>
  <c r="E27" i="10" s="1"/>
  <c r="B27" i="10"/>
  <c r="E23" i="9"/>
  <c r="B28" i="10"/>
  <c r="C29" i="3"/>
  <c r="E33" i="9"/>
  <c r="E32" i="9"/>
  <c r="D34" i="4"/>
  <c r="D35" i="4" s="1"/>
  <c r="I21" i="9" l="1"/>
  <c r="I23" i="9" s="1"/>
  <c r="E28" i="10"/>
  <c r="F18" i="9"/>
  <c r="F21" i="10" s="1"/>
  <c r="F31" i="9"/>
  <c r="C15" i="3"/>
  <c r="C20" i="3"/>
  <c r="D36" i="4"/>
  <c r="D37" i="4" s="1"/>
  <c r="D62" i="4" s="1"/>
  <c r="D64" i="4" s="1"/>
  <c r="C32" i="3"/>
  <c r="I21" i="10" l="1"/>
  <c r="J21" i="10" s="1"/>
  <c r="F22" i="9"/>
  <c r="F27" i="10" s="1"/>
  <c r="C31" i="3"/>
  <c r="F32" i="9" s="1"/>
  <c r="C22" i="3"/>
  <c r="F33" i="9"/>
  <c r="C23" i="3" l="1"/>
  <c r="M27" i="10"/>
  <c r="I27" i="10"/>
  <c r="J27" i="10" s="1"/>
  <c r="J25" i="9"/>
  <c r="J26" i="9"/>
  <c r="C17" i="3"/>
  <c r="F19" i="9" s="1"/>
  <c r="F22" i="10" l="1"/>
  <c r="I22" i="10" s="1"/>
  <c r="I23" i="10" s="1"/>
  <c r="F23" i="9"/>
  <c r="F28" i="10" s="1"/>
  <c r="C18" i="3"/>
  <c r="F23" i="10" l="1"/>
  <c r="J22" i="10"/>
  <c r="J23" i="10" s="1"/>
  <c r="I28" i="10"/>
  <c r="J28" i="10" s="1"/>
  <c r="M28" i="10"/>
  <c r="M29" i="10" s="1"/>
  <c r="J29" i="9"/>
  <c r="D27" i="9" s="1"/>
  <c r="J28" i="9"/>
  <c r="F27" i="9" s="1"/>
  <c r="F29" i="10" l="1"/>
  <c r="I29" i="10"/>
  <c r="J29" i="10" l="1"/>
</calcChain>
</file>

<file path=xl/sharedStrings.xml><?xml version="1.0" encoding="utf-8"?>
<sst xmlns="http://schemas.openxmlformats.org/spreadsheetml/2006/main" count="189" uniqueCount="119">
  <si>
    <t>Premium Calculator</t>
  </si>
  <si>
    <r>
      <t>Please enter amounts</t>
    </r>
    <r>
      <rPr>
        <b/>
        <sz val="8"/>
        <rFont val="Arial"/>
        <family val="2"/>
      </rPr>
      <t>:</t>
    </r>
  </si>
  <si>
    <t>Sales Price</t>
  </si>
  <si>
    <t>Loan Amount</t>
  </si>
  <si>
    <t>2nd Loan Amount</t>
  </si>
  <si>
    <t>Premium</t>
  </si>
  <si>
    <r>
      <t xml:space="preserve">Loan(s) and </t>
    </r>
    <r>
      <rPr>
        <u/>
        <sz val="10"/>
        <rFont val="Arial"/>
        <family val="2"/>
      </rPr>
      <t>Enhanced</t>
    </r>
    <r>
      <rPr>
        <sz val="10"/>
        <rFont val="Arial"/>
        <family val="2"/>
      </rPr>
      <t xml:space="preserve"> Owner's policies issued at same closing</t>
    </r>
  </si>
  <si>
    <t>Loan Policy</t>
  </si>
  <si>
    <t>2nd Loan Policy</t>
  </si>
  <si>
    <t>Enhanced Owner's Policy</t>
  </si>
  <si>
    <t>Total</t>
  </si>
  <si>
    <r>
      <t xml:space="preserve">Loan(s) and </t>
    </r>
    <r>
      <rPr>
        <u/>
        <sz val="10"/>
        <rFont val="Arial"/>
        <family val="2"/>
      </rPr>
      <t>Standard</t>
    </r>
    <r>
      <rPr>
        <sz val="10"/>
        <rFont val="Arial"/>
        <family val="2"/>
      </rPr>
      <t xml:space="preserve"> Owner's policies issued at same closing</t>
    </r>
  </si>
  <si>
    <t>Standard Owner's Policy</t>
  </si>
  <si>
    <t>Loan policies issued at same closing to same insured</t>
  </si>
  <si>
    <t>Only 1 policy issued at closing</t>
  </si>
  <si>
    <t>Loan Policy Only</t>
  </si>
  <si>
    <t>Enhanced Owner's Policy Only</t>
  </si>
  <si>
    <t>Standard Owner's Policy Only</t>
  </si>
  <si>
    <t>RESIDENTIAL</t>
  </si>
  <si>
    <t>Single Policy</t>
  </si>
  <si>
    <t>Rounded</t>
  </si>
  <si>
    <t>LTP Premium</t>
  </si>
  <si>
    <t>Amount</t>
  </si>
  <si>
    <t>Standard OTP Premium</t>
  </si>
  <si>
    <t>Standard</t>
  </si>
  <si>
    <t>Enhanced OTP Premium</t>
  </si>
  <si>
    <t>Simultaneous Fee</t>
  </si>
  <si>
    <t>Simultaneous: Loan Greater Than Sales Price</t>
  </si>
  <si>
    <t>Standard Owner's</t>
  </si>
  <si>
    <t>LTP for loan up to OTP</t>
  </si>
  <si>
    <t>LTP for GFE</t>
  </si>
  <si>
    <t>Adj. Standard OTP Premium for GFE</t>
  </si>
  <si>
    <t>Enhanced Owner's</t>
  </si>
  <si>
    <t>Adj. Enhanced OTP Premium for GFE</t>
  </si>
  <si>
    <t>Loan Amount (Loan Policy)</t>
  </si>
  <si>
    <t>Sales Price (Owner's Policy)</t>
  </si>
  <si>
    <t>Enhanced</t>
  </si>
  <si>
    <t>Simultaneous Issue</t>
  </si>
  <si>
    <t>Full Comparison</t>
  </si>
  <si>
    <t>Single Issue</t>
  </si>
  <si>
    <t>N/A</t>
  </si>
  <si>
    <t>(select from list here)</t>
  </si>
  <si>
    <t>Type of Owner's Policy:</t>
  </si>
  <si>
    <t>Premiums to Calculate:</t>
  </si>
  <si>
    <t>1 Standard, 10 Enhanced</t>
  </si>
  <si>
    <t>3 Single Issue, 5 SI</t>
  </si>
  <si>
    <t>Telephone: 770-642-0420</t>
  </si>
  <si>
    <t>The charges set forth herein may vary and additional charges will be made when unusual conditions of title are encountered, when special risks are insured against, or when special services are requested.</t>
  </si>
  <si>
    <r>
      <rPr>
        <b/>
        <sz val="8"/>
        <rFont val="Calibri"/>
        <family val="2"/>
        <scheme val="minor"/>
      </rPr>
      <t>NOTE:</t>
    </r>
    <r>
      <rPr>
        <sz val="8"/>
        <rFont val="Calibri"/>
        <family val="2"/>
        <scheme val="minor"/>
      </rPr>
      <t xml:space="preserve"> These rates are for residential policies only. Please contact an underwriter for commercial rates. </t>
    </r>
  </si>
  <si>
    <t>minimum</t>
  </si>
  <si>
    <t>Up to</t>
  </si>
  <si>
    <t>Over</t>
  </si>
  <si>
    <t>percentage</t>
  </si>
  <si>
    <t>Comparison</t>
  </si>
  <si>
    <t>15 total simultaneous issue</t>
  </si>
  <si>
    <t>5 there is an LTP (5 total single issue LTP)</t>
  </si>
  <si>
    <t>10 there is an OTP (10 total single issue OTP)</t>
  </si>
  <si>
    <t>Simultaneous</t>
  </si>
  <si>
    <t>Comparison OTP only</t>
  </si>
  <si>
    <t>Comparison SI</t>
  </si>
  <si>
    <t>Agent</t>
  </si>
  <si>
    <t>STGC</t>
  </si>
  <si>
    <t>Remittance</t>
  </si>
  <si>
    <t>Remit</t>
  </si>
  <si>
    <t>Premiums Calculated:</t>
  </si>
  <si>
    <t xml:space="preserve">      OR</t>
  </si>
  <si>
    <t>DISCLAIMER: Stewart Title Guaranty Company (STGC) takes reasonable measures to ensure the quality of the data  made available on this spreadsheet. Nevertheless because of the possibility of human, computer, or mechanical error, STGC does not guarantee the accuracy, adequacy, or completeness of any information herein. STGC does not make any express or implied warranties with regard to the use of the spreadsheet and shall not be responsible for any errors or omissions or for the results obtained from the use of such information. You should verify all information obtained from this spreadsheet.</t>
  </si>
  <si>
    <t>3 Single Issue, 5 SI, 7 Single Issue but should be SI</t>
  </si>
  <si>
    <t>Georgia</t>
  </si>
  <si>
    <t>Residential Rate Spreadsheet</t>
  </si>
  <si>
    <t>Georgia Residential Rate and Remittance Spreadsheet</t>
  </si>
  <si>
    <t>Calculation of Rates</t>
  </si>
  <si>
    <t>Simultaneous Issue Fee</t>
  </si>
  <si>
    <t>Instructions:</t>
  </si>
  <si>
    <t>Change tier values for loan policy</t>
  </si>
  <si>
    <t>Change minimum value for loan policy</t>
  </si>
  <si>
    <t>Change tier values for standard owner's policy</t>
  </si>
  <si>
    <t>Change minimum value for standard owner's policy</t>
  </si>
  <si>
    <t>Change multiplier for enhanced owner's policy</t>
  </si>
  <si>
    <t>Change Simultaneous Issue Fee</t>
  </si>
  <si>
    <t>"                      "                      "</t>
  </si>
  <si>
    <t>2a</t>
  </si>
  <si>
    <t>2b</t>
  </si>
  <si>
    <t>2c</t>
  </si>
  <si>
    <t>2d</t>
  </si>
  <si>
    <t>2e</t>
  </si>
  <si>
    <t>2f</t>
  </si>
  <si>
    <t>2g</t>
  </si>
  <si>
    <t>Change effective date (type full date):</t>
  </si>
  <si>
    <t>4a</t>
  </si>
  <si>
    <t>4b</t>
  </si>
  <si>
    <t>Select "Hide"</t>
  </si>
  <si>
    <t>5a</t>
  </si>
  <si>
    <t>5b</t>
  </si>
  <si>
    <t>5c</t>
  </si>
  <si>
    <t>5d</t>
  </si>
  <si>
    <t>Click "Review" menu tab above</t>
  </si>
  <si>
    <t>Click "Protect Workbook"</t>
  </si>
  <si>
    <t>Type Password: I8sushi</t>
  </si>
  <si>
    <t>Confirm Password: I8sushi</t>
  </si>
  <si>
    <t>Save</t>
  </si>
  <si>
    <t>"Save As" new spreadsheet with effective date instead of "(Template)" (i.e., Stewart GA Residential Rate Spreadsheet 2017-01-01)</t>
  </si>
  <si>
    <t>Before completing Step 4, print these instructions.</t>
  </si>
  <si>
    <t>Right-click on "Tables" tab below</t>
  </si>
  <si>
    <t>Hide "Tables" worksheet:</t>
  </si>
  <si>
    <r>
      <t xml:space="preserve">Change values in </t>
    </r>
    <r>
      <rPr>
        <b/>
        <sz val="10"/>
        <color rgb="FF8E0000"/>
        <rFont val="Arial"/>
        <family val="2"/>
      </rPr>
      <t>red</t>
    </r>
    <r>
      <rPr>
        <sz val="10"/>
        <rFont val="Arial"/>
        <family val="2"/>
      </rPr>
      <t>:</t>
    </r>
  </si>
  <si>
    <t>Click on "Residential" tab below so that it is the worksheet that is seen when workbook is opened.</t>
  </si>
  <si>
    <t>Make workbook "Read-Only":</t>
  </si>
  <si>
    <t>Right-click on workbook filename</t>
  </si>
  <si>
    <t>9a</t>
  </si>
  <si>
    <t>9b</t>
  </si>
  <si>
    <t>Check "Read-only"</t>
  </si>
  <si>
    <t>9c</t>
  </si>
  <si>
    <t>Select "Properties"</t>
  </si>
  <si>
    <t>Close worksheet</t>
  </si>
  <si>
    <t>9d</t>
  </si>
  <si>
    <t>Click "OK"</t>
  </si>
  <si>
    <t>Protect workbook to prevent hidden sheets from being viewed:</t>
  </si>
  <si>
    <t>September 16,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</si>
</sst>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30" x14ac:knownFonts="1">
    <font>
      <sz val="10"/>
      <name val="Arial"/>
      <family val="2"/>
    </font>
    <font>
      <sz val="10"/>
      <name val="Arial"/>
      <family val="2"/>
    </font>
    <font>
      <b/>
      <sz val="12"/>
      <name val="Arial"/>
      <family val="2"/>
    </font>
    <font>
      <b/>
      <sz val="10"/>
      <name val="Arial"/>
      <family val="2"/>
    </font>
    <font>
      <sz val="8"/>
      <name val="Arial"/>
      <family val="2"/>
    </font>
    <font>
      <b/>
      <sz val="10"/>
      <color indexed="9"/>
      <name val="Arial"/>
      <family val="2"/>
    </font>
    <font>
      <b/>
      <sz val="8"/>
      <name val="Arial"/>
      <family val="2"/>
    </font>
    <font>
      <u/>
      <sz val="10"/>
      <name val="Arial"/>
      <family val="2"/>
    </font>
    <font>
      <sz val="10"/>
      <color indexed="9"/>
      <name val="Arial"/>
      <family val="2"/>
    </font>
    <font>
      <sz val="12"/>
      <name val="Calibri"/>
      <family val="2"/>
      <scheme val="minor"/>
    </font>
    <font>
      <sz val="10"/>
      <name val="Calibri"/>
      <family val="2"/>
      <scheme val="minor"/>
    </font>
    <font>
      <sz val="9"/>
      <name val="Calibri"/>
      <family val="2"/>
      <scheme val="minor"/>
    </font>
    <font>
      <sz val="14"/>
      <name val="Calibri"/>
      <family val="2"/>
      <scheme val="minor"/>
    </font>
    <font>
      <b/>
      <sz val="12"/>
      <name val="Calibri"/>
      <family val="2"/>
      <scheme val="minor"/>
    </font>
    <font>
      <sz val="13"/>
      <name val="Calibri"/>
      <family val="2"/>
      <scheme val="minor"/>
    </font>
    <font>
      <sz val="10"/>
      <color theme="0"/>
      <name val="Calibri"/>
      <family val="2"/>
      <scheme val="minor"/>
    </font>
    <font>
      <b/>
      <sz val="14"/>
      <name val="Calibri"/>
      <family val="2"/>
      <scheme val="minor"/>
    </font>
    <font>
      <sz val="12"/>
      <color theme="0"/>
      <name val="Calibri"/>
      <family val="2"/>
      <scheme val="minor"/>
    </font>
    <font>
      <sz val="8"/>
      <name val="Calibri"/>
      <family val="2"/>
      <scheme val="minor"/>
    </font>
    <font>
      <b/>
      <sz val="8"/>
      <name val="Calibri"/>
      <family val="2"/>
      <scheme val="minor"/>
    </font>
    <font>
      <sz val="12"/>
      <color rgb="FFFF0000"/>
      <name val="Calibri"/>
      <family val="2"/>
      <scheme val="minor"/>
    </font>
    <font>
      <sz val="8"/>
      <color theme="0"/>
      <name val="Calibri"/>
      <family val="2"/>
      <scheme val="minor"/>
    </font>
    <font>
      <sz val="12"/>
      <color rgb="FFC00000"/>
      <name val="Calibri"/>
      <family val="2"/>
      <scheme val="minor"/>
    </font>
    <font>
      <sz val="14"/>
      <color rgb="FFC00000"/>
      <name val="Calibri"/>
      <family val="2"/>
      <scheme val="minor"/>
    </font>
    <font>
      <b/>
      <sz val="12"/>
      <color theme="0"/>
      <name val="Calibri"/>
      <family val="2"/>
      <scheme val="minor"/>
    </font>
    <font>
      <sz val="9"/>
      <color rgb="FF8E0000"/>
      <name val="Calibri"/>
      <family val="2"/>
      <scheme val="minor"/>
    </font>
    <font>
      <b/>
      <sz val="9"/>
      <color rgb="FF8E0000"/>
      <name val="Calibri"/>
      <family val="2"/>
      <scheme val="minor"/>
    </font>
    <font>
      <b/>
      <sz val="10"/>
      <color rgb="FF8E0000"/>
      <name val="Arial"/>
      <family val="2"/>
    </font>
    <font>
      <sz val="10"/>
      <color rgb="FF8E0000"/>
      <name val="Calibri"/>
      <family val="2"/>
      <scheme val="minor"/>
    </font>
    <font>
      <b/>
      <sz val="14"/>
      <color rgb="FF8E0000"/>
      <name val="Calibri"/>
      <family val="2"/>
      <scheme val="minor"/>
    </font>
  </fonts>
  <fills count="14">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47"/>
        <bgColor indexed="64"/>
      </patternFill>
    </fill>
    <fill>
      <patternFill patternType="solid">
        <fgColor indexed="8"/>
        <bgColor indexed="64"/>
      </patternFill>
    </fill>
    <fill>
      <patternFill patternType="solid">
        <fgColor rgb="FF8E0000"/>
        <bgColor indexed="64"/>
      </patternFill>
    </fill>
    <fill>
      <patternFill patternType="solid">
        <fgColor theme="1"/>
        <bgColor indexed="64"/>
      </patternFill>
    </fill>
    <fill>
      <patternFill patternType="solid">
        <fgColor theme="4" tint="0.59999389629810485"/>
        <bgColor indexed="64"/>
      </patternFill>
    </fill>
  </fills>
  <borders count="34">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2">
    <xf numFmtId="0" fontId="0" fillId="0" borderId="0" xfId="0"/>
    <xf numFmtId="0" fontId="6" fillId="0" borderId="0" xfId="0" applyFont="1" applyFill="1" applyBorder="1" applyAlignment="1">
      <alignment horizontal="left" vertical="center"/>
    </xf>
    <xf numFmtId="0" fontId="6" fillId="0" borderId="0" xfId="0" applyFont="1"/>
    <xf numFmtId="0" fontId="8" fillId="0" borderId="0" xfId="0" applyFont="1"/>
    <xf numFmtId="44" fontId="1" fillId="0" borderId="0" xfId="1" applyFill="1"/>
    <xf numFmtId="44" fontId="1" fillId="0" borderId="0" xfId="1"/>
    <xf numFmtId="0" fontId="0" fillId="0" borderId="0" xfId="0" applyAlignment="1"/>
    <xf numFmtId="44" fontId="1" fillId="0" borderId="7" xfId="1" applyFont="1" applyBorder="1"/>
    <xf numFmtId="44" fontId="3" fillId="2" borderId="8" xfId="1" applyFont="1" applyFill="1" applyBorder="1"/>
    <xf numFmtId="44" fontId="1" fillId="0" borderId="7" xfId="1" applyFont="1" applyFill="1" applyBorder="1"/>
    <xf numFmtId="44" fontId="3" fillId="0" borderId="0" xfId="1" applyFont="1" applyFill="1" applyBorder="1"/>
    <xf numFmtId="44" fontId="0" fillId="0" borderId="0" xfId="1" applyFont="1"/>
    <xf numFmtId="44" fontId="3" fillId="0" borderId="9" xfId="1" quotePrefix="1" applyFont="1" applyBorder="1" applyAlignment="1">
      <alignment horizontal="left"/>
    </xf>
    <xf numFmtId="44" fontId="3" fillId="0" borderId="7" xfId="0" applyNumberFormat="1" applyFont="1" applyBorder="1"/>
    <xf numFmtId="44" fontId="3" fillId="2" borderId="8" xfId="0" applyNumberFormat="1" applyFont="1" applyFill="1" applyBorder="1"/>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44" fontId="12" fillId="0" borderId="0" xfId="1" applyFont="1" applyAlignment="1" applyProtection="1">
      <alignment vertical="center"/>
      <protection hidden="1"/>
    </xf>
    <xf numFmtId="44" fontId="12" fillId="0" borderId="0" xfId="1" applyFont="1" applyBorder="1" applyAlignment="1" applyProtection="1">
      <alignment vertical="center"/>
      <protection hidden="1"/>
    </xf>
    <xf numFmtId="0" fontId="10" fillId="0" borderId="0" xfId="0" applyFont="1" applyAlignment="1" applyProtection="1">
      <alignment horizontal="right" vertical="center"/>
      <protection hidden="1"/>
    </xf>
    <xf numFmtId="44" fontId="10" fillId="0" borderId="0" xfId="0" applyNumberFormat="1" applyFont="1" applyAlignment="1" applyProtection="1">
      <alignment vertical="center"/>
      <protection hidden="1"/>
    </xf>
    <xf numFmtId="44" fontId="9" fillId="0" borderId="0" xfId="1" applyFont="1" applyAlignment="1" applyProtection="1">
      <alignment horizontal="right" vertical="center"/>
      <protection hidden="1"/>
    </xf>
    <xf numFmtId="0" fontId="14" fillId="0" borderId="0" xfId="0" applyFont="1" applyAlignment="1" applyProtection="1">
      <alignment vertical="center"/>
      <protection hidden="1"/>
    </xf>
    <xf numFmtId="0" fontId="17" fillId="0" borderId="0" xfId="0" applyFont="1" applyFill="1" applyAlignment="1" applyProtection="1">
      <alignment vertical="center"/>
      <protection hidden="1"/>
    </xf>
    <xf numFmtId="0" fontId="15" fillId="0" borderId="0" xfId="0" applyFont="1" applyFill="1" applyAlignment="1" applyProtection="1">
      <alignment vertical="center"/>
      <protection hidden="1"/>
    </xf>
    <xf numFmtId="0" fontId="17" fillId="0" borderId="0" xfId="0" applyFont="1" applyAlignment="1" applyProtection="1">
      <alignment vertical="center"/>
      <protection hidden="1"/>
    </xf>
    <xf numFmtId="0" fontId="0" fillId="0" borderId="0" xfId="0" applyAlignment="1">
      <alignment horizontal="right"/>
    </xf>
    <xf numFmtId="43" fontId="0" fillId="0" borderId="0" xfId="3" applyFont="1"/>
    <xf numFmtId="4" fontId="0" fillId="0" borderId="0" xfId="3" applyNumberFormat="1" applyFont="1"/>
    <xf numFmtId="0" fontId="0" fillId="0" borderId="0" xfId="0" applyFont="1" applyAlignment="1">
      <alignment horizontal="right"/>
    </xf>
    <xf numFmtId="4" fontId="0" fillId="0" borderId="0" xfId="3" applyNumberFormat="1" applyFont="1" applyFill="1" applyBorder="1"/>
    <xf numFmtId="43" fontId="0" fillId="0" borderId="7" xfId="3" applyFont="1" applyBorder="1"/>
    <xf numFmtId="0" fontId="20" fillId="0" borderId="0" xfId="0" applyFont="1" applyFill="1" applyAlignment="1" applyProtection="1">
      <alignment vertical="center"/>
      <protection hidden="1"/>
    </xf>
    <xf numFmtId="43" fontId="15" fillId="0" borderId="0" xfId="3" applyFont="1" applyFill="1" applyAlignment="1" applyProtection="1">
      <alignment vertical="center"/>
      <protection hidden="1"/>
    </xf>
    <xf numFmtId="0" fontId="21" fillId="0" borderId="0" xfId="0" applyFont="1" applyAlignment="1" applyProtection="1">
      <alignment vertical="center" wrapText="1"/>
      <protection hidden="1"/>
    </xf>
    <xf numFmtId="164" fontId="9" fillId="0" borderId="0" xfId="2" applyNumberFormat="1" applyFont="1" applyAlignment="1" applyProtection="1">
      <alignment vertical="center"/>
      <protection hidden="1"/>
    </xf>
    <xf numFmtId="0" fontId="9" fillId="0" borderId="0" xfId="0" applyFont="1" applyAlignment="1" applyProtection="1">
      <alignment horizontal="left" vertical="center"/>
    </xf>
    <xf numFmtId="0" fontId="12" fillId="0" borderId="24" xfId="0" applyFont="1" applyBorder="1" applyAlignment="1" applyProtection="1">
      <alignment vertical="center"/>
      <protection hidden="1"/>
    </xf>
    <xf numFmtId="0" fontId="9" fillId="0" borderId="0" xfId="0" applyFont="1" applyAlignment="1" applyProtection="1">
      <alignment vertical="center"/>
    </xf>
    <xf numFmtId="0" fontId="9" fillId="0" borderId="0" xfId="0" applyFont="1" applyFill="1" applyAlignment="1" applyProtection="1">
      <alignment vertical="center"/>
      <protection hidden="1"/>
    </xf>
    <xf numFmtId="44" fontId="12" fillId="0" borderId="0" xfId="1" applyFont="1" applyFill="1" applyBorder="1" applyAlignment="1" applyProtection="1">
      <alignment horizontal="center" vertical="center"/>
    </xf>
    <xf numFmtId="0" fontId="12" fillId="0" borderId="30"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9" fillId="0" borderId="32" xfId="0" applyFont="1" applyBorder="1" applyAlignment="1" applyProtection="1">
      <alignment vertical="center"/>
      <protection hidden="1"/>
    </xf>
    <xf numFmtId="0" fontId="9" fillId="0" borderId="26" xfId="0" applyFont="1" applyBorder="1" applyAlignment="1" applyProtection="1">
      <alignment vertical="center"/>
      <protection hidden="1"/>
    </xf>
    <xf numFmtId="0" fontId="12" fillId="0" borderId="26" xfId="0" applyFont="1" applyBorder="1" applyAlignment="1" applyProtection="1">
      <alignment horizontal="right" vertical="center"/>
      <protection hidden="1"/>
    </xf>
    <xf numFmtId="0" fontId="13" fillId="0" borderId="0" xfId="0" applyFont="1" applyBorder="1" applyAlignment="1" applyProtection="1">
      <alignment horizontal="center" vertical="center"/>
      <protection hidden="1"/>
    </xf>
    <xf numFmtId="44" fontId="12" fillId="0" borderId="0" xfId="1" applyFont="1" applyBorder="1" applyAlignment="1" applyProtection="1">
      <alignment horizontal="right" vertical="center"/>
      <protection hidden="1"/>
    </xf>
    <xf numFmtId="44" fontId="12" fillId="0" borderId="0" xfId="1" applyFont="1" applyBorder="1" applyAlignment="1" applyProtection="1">
      <alignment horizontal="center" vertical="center"/>
      <protection hidden="1"/>
    </xf>
    <xf numFmtId="0" fontId="13" fillId="0" borderId="0" xfId="0" applyFont="1" applyAlignment="1" applyProtection="1">
      <alignment vertical="center"/>
    </xf>
    <xf numFmtId="0" fontId="13" fillId="0" borderId="27" xfId="0" applyFont="1" applyBorder="1" applyAlignment="1" applyProtection="1">
      <alignment horizontal="center" vertical="center"/>
      <protection hidden="1"/>
    </xf>
    <xf numFmtId="0" fontId="13" fillId="0" borderId="29" xfId="0" applyFont="1" applyFill="1" applyBorder="1" applyAlignment="1" applyProtection="1">
      <alignment horizontal="center" vertical="center"/>
      <protection hidden="1"/>
    </xf>
    <xf numFmtId="44" fontId="9" fillId="0" borderId="30" xfId="0" applyNumberFormat="1" applyFont="1" applyBorder="1" applyAlignment="1" applyProtection="1">
      <alignment vertical="center"/>
      <protection hidden="1"/>
    </xf>
    <xf numFmtId="44" fontId="9" fillId="0" borderId="24" xfId="0" applyNumberFormat="1" applyFont="1" applyFill="1" applyBorder="1" applyAlignment="1" applyProtection="1">
      <alignment vertical="center"/>
      <protection hidden="1"/>
    </xf>
    <xf numFmtId="44" fontId="9" fillId="0" borderId="32" xfId="0" applyNumberFormat="1" applyFont="1" applyBorder="1" applyAlignment="1" applyProtection="1">
      <alignment vertical="center"/>
      <protection hidden="1"/>
    </xf>
    <xf numFmtId="0" fontId="13" fillId="0" borderId="0" xfId="0" applyFont="1" applyFill="1" applyAlignment="1" applyProtection="1">
      <alignment horizontal="center" vertical="top"/>
      <protection hidden="1"/>
    </xf>
    <xf numFmtId="44" fontId="9" fillId="0" borderId="8" xfId="0" applyNumberFormat="1" applyFont="1" applyFill="1" applyBorder="1" applyAlignment="1" applyProtection="1">
      <alignment vertical="center"/>
      <protection hidden="1"/>
    </xf>
    <xf numFmtId="164" fontId="9" fillId="0" borderId="0" xfId="2" applyNumberFormat="1" applyFont="1" applyAlignment="1" applyProtection="1">
      <alignment vertical="center"/>
      <protection locked="0" hidden="1"/>
    </xf>
    <xf numFmtId="0" fontId="12" fillId="0" borderId="0" xfId="0" applyFont="1" applyBorder="1" applyAlignment="1" applyProtection="1">
      <alignment vertical="center"/>
      <protection hidden="1"/>
    </xf>
    <xf numFmtId="1" fontId="17" fillId="0" borderId="0" xfId="0" applyNumberFormat="1" applyFont="1" applyFill="1" applyAlignment="1" applyProtection="1">
      <alignment vertical="center"/>
      <protection hidden="1"/>
    </xf>
    <xf numFmtId="0" fontId="9" fillId="0" borderId="0" xfId="0" applyFont="1" applyAlignment="1" applyProtection="1">
      <alignment horizontal="right" vertical="center"/>
      <protection hidden="1"/>
    </xf>
    <xf numFmtId="0" fontId="22" fillId="0" borderId="0" xfId="0" applyFont="1" applyFill="1" applyAlignment="1" applyProtection="1">
      <alignment vertical="center"/>
      <protection hidden="1"/>
    </xf>
    <xf numFmtId="44" fontId="23" fillId="0" borderId="0" xfId="1" applyFont="1" applyFill="1" applyBorder="1" applyAlignment="1" applyProtection="1">
      <alignment horizontal="center" vertical="center"/>
    </xf>
    <xf numFmtId="0" fontId="3" fillId="0" borderId="1" xfId="0" applyFont="1" applyBorder="1" applyAlignment="1" applyProtection="1">
      <alignment vertical="center"/>
    </xf>
    <xf numFmtId="44" fontId="2" fillId="4" borderId="10" xfId="1" applyFont="1" applyFill="1" applyBorder="1" applyAlignment="1" applyProtection="1">
      <alignment vertical="center"/>
    </xf>
    <xf numFmtId="44" fontId="2" fillId="4" borderId="11" xfId="1" applyFont="1" applyFill="1" applyBorder="1" applyAlignment="1" applyProtection="1">
      <alignment vertical="center"/>
    </xf>
    <xf numFmtId="0" fontId="3" fillId="0" borderId="2" xfId="0" applyFont="1" applyBorder="1" applyAlignment="1" applyProtection="1">
      <alignment vertical="center"/>
    </xf>
    <xf numFmtId="44" fontId="2" fillId="4" borderId="12" xfId="1" applyFont="1" applyFill="1" applyBorder="1" applyAlignment="1" applyProtection="1">
      <alignment vertical="center"/>
    </xf>
    <xf numFmtId="0" fontId="3" fillId="0" borderId="0" xfId="0" applyFont="1" applyFill="1" applyBorder="1" applyProtection="1"/>
    <xf numFmtId="44" fontId="2" fillId="2" borderId="3" xfId="1" applyFont="1" applyFill="1" applyBorder="1" applyAlignment="1" applyProtection="1">
      <alignment vertical="center"/>
    </xf>
    <xf numFmtId="44" fontId="2" fillId="2" borderId="4" xfId="1" applyFont="1" applyFill="1" applyBorder="1" applyAlignment="1" applyProtection="1">
      <alignment vertical="center"/>
    </xf>
    <xf numFmtId="0" fontId="3" fillId="0" borderId="5" xfId="0" applyFont="1" applyBorder="1" applyAlignment="1" applyProtection="1">
      <alignment vertical="center"/>
    </xf>
    <xf numFmtId="0" fontId="3" fillId="3" borderId="2" xfId="0" applyFont="1" applyFill="1" applyBorder="1" applyAlignment="1" applyProtection="1">
      <alignment horizontal="center" vertical="center"/>
    </xf>
    <xf numFmtId="44" fontId="2" fillId="3" borderId="6" xfId="1" applyFont="1" applyFill="1" applyBorder="1" applyAlignment="1" applyProtection="1">
      <alignment vertical="center"/>
    </xf>
    <xf numFmtId="0" fontId="3" fillId="12" borderId="1" xfId="0" applyFont="1" applyFill="1" applyBorder="1" applyAlignment="1" applyProtection="1">
      <alignment vertical="center"/>
    </xf>
    <xf numFmtId="44" fontId="2" fillId="12" borderId="4" xfId="1" applyFont="1" applyFill="1" applyBorder="1" applyAlignment="1" applyProtection="1">
      <alignment vertical="center"/>
    </xf>
    <xf numFmtId="44" fontId="2" fillId="12" borderId="3" xfId="1" applyFont="1" applyFill="1" applyBorder="1" applyAlignment="1" applyProtection="1">
      <alignment vertical="center"/>
    </xf>
    <xf numFmtId="0" fontId="3" fillId="12" borderId="4" xfId="0" applyFont="1" applyFill="1" applyBorder="1" applyAlignment="1" applyProtection="1">
      <alignment vertical="center"/>
    </xf>
    <xf numFmtId="44" fontId="2" fillId="2" borderId="6" xfId="1" applyFont="1" applyFill="1" applyBorder="1" applyAlignment="1" applyProtection="1">
      <alignment vertical="center"/>
    </xf>
    <xf numFmtId="0" fontId="28" fillId="0" borderId="0" xfId="0" applyFont="1" applyAlignment="1" applyProtection="1">
      <alignment vertical="center"/>
      <protection hidden="1"/>
    </xf>
    <xf numFmtId="44" fontId="1" fillId="0" borderId="0" xfId="1" applyFill="1" applyProtection="1"/>
    <xf numFmtId="44" fontId="0" fillId="0" borderId="0" xfId="1" applyFont="1" applyFill="1"/>
    <xf numFmtId="0" fontId="0" fillId="0" borderId="0" xfId="0" applyAlignment="1">
      <alignment horizontal="center"/>
    </xf>
    <xf numFmtId="44" fontId="1" fillId="0" borderId="7" xfId="1" applyFont="1" applyFill="1" applyBorder="1" applyAlignment="1"/>
    <xf numFmtId="44" fontId="3" fillId="0" borderId="9" xfId="1" quotePrefix="1" applyFont="1" applyBorder="1" applyAlignment="1"/>
    <xf numFmtId="44" fontId="3" fillId="0" borderId="7" xfId="0" applyNumberFormat="1" applyFont="1" applyBorder="1" applyAlignment="1"/>
    <xf numFmtId="44" fontId="3" fillId="2" borderId="8" xfId="0" applyNumberFormat="1" applyFont="1" applyFill="1" applyBorder="1" applyAlignment="1"/>
    <xf numFmtId="44" fontId="1" fillId="0" borderId="0" xfId="1" applyAlignment="1"/>
    <xf numFmtId="44" fontId="1" fillId="0" borderId="9" xfId="1" quotePrefix="1" applyFont="1" applyBorder="1" applyAlignment="1"/>
    <xf numFmtId="44" fontId="3" fillId="2" borderId="8" xfId="1" applyFont="1" applyFill="1" applyBorder="1" applyAlignment="1"/>
    <xf numFmtId="4" fontId="27" fillId="0" borderId="0" xfId="3" applyNumberFormat="1" applyFont="1" applyProtection="1">
      <protection locked="0"/>
    </xf>
    <xf numFmtId="43" fontId="27" fillId="0" borderId="0" xfId="3" applyFont="1" applyProtection="1">
      <protection locked="0"/>
    </xf>
    <xf numFmtId="2" fontId="27" fillId="0" borderId="0" xfId="3" applyNumberFormat="1" applyFont="1" applyAlignment="1" applyProtection="1">
      <alignment horizontal="right"/>
      <protection locked="0"/>
    </xf>
    <xf numFmtId="9" fontId="27" fillId="0" borderId="0" xfId="2" applyFont="1" applyAlignment="1" applyProtection="1">
      <alignment horizontal="right"/>
      <protection locked="0"/>
    </xf>
    <xf numFmtId="44" fontId="27" fillId="0" borderId="8" xfId="1" applyFont="1" applyBorder="1" applyProtection="1">
      <protection locked="0"/>
    </xf>
    <xf numFmtId="0" fontId="0" fillId="0" borderId="0" xfId="0" quotePrefix="1"/>
    <xf numFmtId="0" fontId="0" fillId="0" borderId="0" xfId="0" applyAlignment="1">
      <alignment horizontal="left"/>
    </xf>
    <xf numFmtId="49" fontId="27" fillId="0" borderId="0" xfId="0" applyNumberFormat="1" applyFont="1" applyAlignment="1" applyProtection="1">
      <alignment horizontal="left"/>
      <protection locked="0"/>
    </xf>
    <xf numFmtId="0" fontId="18" fillId="0" borderId="0" xfId="0" applyFont="1" applyAlignment="1" applyProtection="1">
      <alignment horizontal="left" vertical="center" wrapText="1"/>
      <protection hidden="1"/>
    </xf>
    <xf numFmtId="0" fontId="10"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9" fillId="0" borderId="0" xfId="0" applyFont="1" applyAlignment="1" applyProtection="1">
      <alignment horizontal="left" vertical="center"/>
      <protection locked="0"/>
    </xf>
    <xf numFmtId="0" fontId="16" fillId="0" borderId="0" xfId="0" applyFont="1" applyAlignment="1" applyProtection="1">
      <alignment horizontal="center" vertical="center"/>
      <protection hidden="1"/>
    </xf>
    <xf numFmtId="0" fontId="24" fillId="11" borderId="0" xfId="0" applyFont="1" applyFill="1" applyAlignment="1" applyProtection="1">
      <alignment horizontal="center" vertical="center"/>
      <protection hidden="1"/>
    </xf>
    <xf numFmtId="0" fontId="25" fillId="0" borderId="0" xfId="0" applyFont="1" applyAlignment="1" applyProtection="1">
      <alignment horizontal="center" vertical="center" wrapText="1"/>
      <protection hidden="1"/>
    </xf>
    <xf numFmtId="0" fontId="12" fillId="0" borderId="0" xfId="0" applyFont="1" applyAlignment="1" applyProtection="1">
      <alignment horizontal="left" vertical="center"/>
      <protection hidden="1"/>
    </xf>
    <xf numFmtId="0" fontId="12" fillId="0" borderId="24" xfId="0" applyFont="1" applyBorder="1" applyAlignment="1" applyProtection="1">
      <alignment horizontal="left" vertical="center"/>
      <protection hidden="1"/>
    </xf>
    <xf numFmtId="44" fontId="12" fillId="0" borderId="13" xfId="1" applyFont="1" applyBorder="1" applyAlignment="1" applyProtection="1">
      <alignment horizontal="center" vertical="center"/>
      <protection locked="0"/>
    </xf>
    <xf numFmtId="44" fontId="12" fillId="0" borderId="25" xfId="1" applyFont="1" applyBorder="1" applyAlignment="1" applyProtection="1">
      <alignment horizontal="center" vertical="center"/>
      <protection locked="0"/>
    </xf>
    <xf numFmtId="0" fontId="16" fillId="0" borderId="0" xfId="0" applyFont="1" applyAlignment="1" applyProtection="1">
      <alignment horizontal="center"/>
      <protection hidden="1"/>
    </xf>
    <xf numFmtId="0" fontId="26" fillId="0" borderId="0" xfId="0" applyFont="1" applyAlignment="1" applyProtection="1">
      <alignment horizontal="center" vertical="top" wrapText="1"/>
      <protection hidden="1"/>
    </xf>
    <xf numFmtId="0" fontId="13" fillId="0" borderId="27"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3" fillId="0" borderId="0" xfId="0" applyFont="1" applyAlignment="1" applyProtection="1">
      <alignment horizontal="center" vertical="center"/>
    </xf>
    <xf numFmtId="0" fontId="13" fillId="0" borderId="26" xfId="0" applyFont="1" applyBorder="1" applyAlignment="1" applyProtection="1">
      <alignment horizontal="center" vertical="center"/>
      <protection hidden="1"/>
    </xf>
    <xf numFmtId="44" fontId="12" fillId="0" borderId="0" xfId="1" applyFont="1" applyBorder="1" applyAlignment="1" applyProtection="1">
      <alignment horizontal="right" vertical="center"/>
      <protection hidden="1"/>
    </xf>
    <xf numFmtId="44" fontId="12" fillId="0" borderId="24" xfId="1" applyFont="1" applyBorder="1" applyAlignment="1" applyProtection="1">
      <alignment horizontal="right" vertical="center"/>
      <protection hidden="1"/>
    </xf>
    <xf numFmtId="44" fontId="12" fillId="0" borderId="26" xfId="1" applyFont="1" applyBorder="1" applyAlignment="1" applyProtection="1">
      <alignment horizontal="center" vertical="center"/>
      <protection hidden="1"/>
    </xf>
    <xf numFmtId="44" fontId="12" fillId="0" borderId="31" xfId="1" applyFont="1" applyBorder="1" applyAlignment="1" applyProtection="1">
      <alignment horizontal="center" vertical="center"/>
      <protection hidden="1"/>
    </xf>
    <xf numFmtId="44" fontId="12" fillId="0" borderId="0" xfId="1" applyFont="1" applyBorder="1" applyAlignment="1" applyProtection="1">
      <alignment horizontal="center" vertical="center"/>
      <protection hidden="1"/>
    </xf>
    <xf numFmtId="44" fontId="12" fillId="0" borderId="24" xfId="1" applyFont="1" applyBorder="1" applyAlignment="1" applyProtection="1">
      <alignment horizontal="center" vertical="center"/>
      <protection hidden="1"/>
    </xf>
    <xf numFmtId="0" fontId="28" fillId="0" borderId="0" xfId="0" applyFont="1" applyAlignment="1" applyProtection="1">
      <alignment horizontal="center" vertical="center" wrapText="1"/>
      <protection hidden="1"/>
    </xf>
    <xf numFmtId="44" fontId="12" fillId="0" borderId="13" xfId="1" applyFont="1" applyBorder="1" applyAlignment="1" applyProtection="1">
      <alignment horizontal="center" vertical="center"/>
    </xf>
    <xf numFmtId="44" fontId="12" fillId="0" borderId="33" xfId="1" applyFont="1" applyBorder="1" applyAlignment="1" applyProtection="1">
      <alignment horizontal="center" vertical="center"/>
    </xf>
    <xf numFmtId="44" fontId="12" fillId="0" borderId="25" xfId="1" applyFont="1" applyBorder="1" applyAlignment="1" applyProtection="1">
      <alignment horizontal="center" vertical="center"/>
    </xf>
    <xf numFmtId="0" fontId="11" fillId="0" borderId="0" xfId="0" applyFont="1" applyAlignment="1" applyProtection="1">
      <alignment horizontal="center" vertical="center"/>
      <protection hidden="1"/>
    </xf>
    <xf numFmtId="44" fontId="29" fillId="0" borderId="0" xfId="1" applyFont="1" applyAlignment="1" applyProtection="1">
      <alignment horizontal="center" vertical="center"/>
      <protection hidden="1"/>
    </xf>
    <xf numFmtId="0" fontId="1" fillId="5" borderId="5" xfId="0" applyFont="1" applyFill="1" applyBorder="1" applyAlignment="1" applyProtection="1">
      <alignment horizontal="center"/>
    </xf>
    <xf numFmtId="0" fontId="3" fillId="5" borderId="20" xfId="0" applyFont="1" applyFill="1" applyBorder="1" applyAlignment="1" applyProtection="1">
      <alignment horizontal="center"/>
    </xf>
    <xf numFmtId="0" fontId="1" fillId="12" borderId="5" xfId="0" applyFont="1" applyFill="1" applyBorder="1" applyAlignment="1" applyProtection="1">
      <alignment horizontal="center"/>
    </xf>
    <xf numFmtId="0" fontId="3" fillId="12" borderId="20" xfId="0" applyFont="1" applyFill="1" applyBorder="1" applyAlignment="1" applyProtection="1">
      <alignment horizontal="center"/>
    </xf>
    <xf numFmtId="0" fontId="1" fillId="5" borderId="14" xfId="0" applyFont="1" applyFill="1" applyBorder="1" applyAlignment="1" applyProtection="1">
      <alignment horizontal="center"/>
    </xf>
    <xf numFmtId="0" fontId="3" fillId="5" borderId="15" xfId="0" applyFont="1" applyFill="1" applyBorder="1" applyAlignment="1" applyProtection="1">
      <alignment horizontal="center"/>
    </xf>
    <xf numFmtId="0" fontId="2" fillId="6" borderId="16" xfId="0" applyFont="1" applyFill="1" applyBorder="1" applyAlignment="1">
      <alignment horizontal="center"/>
    </xf>
    <xf numFmtId="0" fontId="2" fillId="6" borderId="17" xfId="0" applyFont="1" applyFill="1" applyBorder="1" applyAlignment="1">
      <alignment horizontal="center"/>
    </xf>
    <xf numFmtId="0" fontId="3" fillId="6" borderId="1" xfId="0" applyFont="1" applyFill="1" applyBorder="1" applyAlignment="1" applyProtection="1">
      <alignment horizontal="center"/>
    </xf>
    <xf numFmtId="0" fontId="3" fillId="6" borderId="18" xfId="0" applyFont="1" applyFill="1" applyBorder="1" applyAlignment="1" applyProtection="1">
      <alignment horizontal="center"/>
    </xf>
    <xf numFmtId="0" fontId="4" fillId="6" borderId="1" xfId="0" applyFont="1" applyFill="1" applyBorder="1" applyAlignment="1" applyProtection="1">
      <alignment horizontal="center"/>
    </xf>
    <xf numFmtId="0" fontId="4" fillId="6" borderId="18" xfId="0" applyFont="1" applyFill="1" applyBorder="1" applyAlignment="1" applyProtection="1">
      <alignment horizontal="center"/>
    </xf>
    <xf numFmtId="0" fontId="0" fillId="0" borderId="18" xfId="0" applyBorder="1" applyProtection="1"/>
    <xf numFmtId="0" fontId="5" fillId="7" borderId="2" xfId="0" applyFont="1" applyFill="1" applyBorder="1" applyAlignment="1" applyProtection="1">
      <alignment horizontal="center" vertical="center"/>
    </xf>
    <xf numFmtId="0" fontId="5" fillId="7" borderId="19" xfId="0" applyFont="1" applyFill="1" applyBorder="1" applyAlignment="1" applyProtection="1">
      <alignment horizontal="center" vertical="center"/>
    </xf>
    <xf numFmtId="0" fontId="4" fillId="8" borderId="14" xfId="0" applyFont="1" applyFill="1" applyBorder="1" applyAlignment="1" applyProtection="1">
      <alignment horizontal="center"/>
    </xf>
    <xf numFmtId="0" fontId="6" fillId="8" borderId="15" xfId="0" applyFont="1" applyFill="1" applyBorder="1" applyAlignment="1" applyProtection="1">
      <alignment horizontal="center"/>
    </xf>
    <xf numFmtId="0" fontId="3" fillId="8" borderId="16" xfId="0" applyFont="1" applyFill="1" applyBorder="1" applyAlignment="1" applyProtection="1">
      <alignment horizontal="center"/>
    </xf>
    <xf numFmtId="0" fontId="3" fillId="8" borderId="17" xfId="0" applyFont="1" applyFill="1" applyBorder="1" applyAlignment="1" applyProtection="1">
      <alignment horizontal="center"/>
    </xf>
    <xf numFmtId="0" fontId="3" fillId="13" borderId="21" xfId="0" applyFont="1" applyFill="1" applyBorder="1" applyAlignment="1">
      <alignment horizontal="center"/>
    </xf>
    <xf numFmtId="0" fontId="3" fillId="13" borderId="22" xfId="0" applyFont="1" applyFill="1" applyBorder="1" applyAlignment="1">
      <alignment horizontal="center"/>
    </xf>
    <xf numFmtId="0" fontId="3" fillId="13" borderId="23" xfId="0" applyFont="1" applyFill="1" applyBorder="1" applyAlignment="1">
      <alignment horizontal="center"/>
    </xf>
    <xf numFmtId="0" fontId="3" fillId="9" borderId="21" xfId="0" applyFont="1" applyFill="1" applyBorder="1" applyAlignment="1">
      <alignment horizontal="center"/>
    </xf>
    <xf numFmtId="0" fontId="3" fillId="9" borderId="22" xfId="0" applyFont="1" applyFill="1" applyBorder="1" applyAlignment="1">
      <alignment horizontal="center"/>
    </xf>
    <xf numFmtId="0" fontId="3" fillId="9" borderId="23" xfId="0" applyFont="1" applyFill="1" applyBorder="1" applyAlignment="1">
      <alignment horizontal="center"/>
    </xf>
    <xf numFmtId="0" fontId="3" fillId="13" borderId="21" xfId="0" applyFont="1" applyFill="1" applyBorder="1" applyAlignment="1">
      <alignment horizontal="left"/>
    </xf>
    <xf numFmtId="0" fontId="3" fillId="13" borderId="22" xfId="0" applyFont="1" applyFill="1" applyBorder="1" applyAlignment="1">
      <alignment horizontal="left"/>
    </xf>
    <xf numFmtId="0" fontId="3" fillId="13" borderId="23" xfId="0" applyFont="1" applyFill="1" applyBorder="1" applyAlignment="1">
      <alignment horizontal="left"/>
    </xf>
    <xf numFmtId="0" fontId="5" fillId="10" borderId="21" xfId="0" applyFont="1" applyFill="1" applyBorder="1" applyAlignment="1" applyProtection="1">
      <alignment horizontal="center"/>
    </xf>
    <xf numFmtId="0" fontId="5" fillId="10" borderId="22" xfId="0" applyFont="1" applyFill="1" applyBorder="1" applyAlignment="1" applyProtection="1">
      <alignment horizontal="center"/>
    </xf>
    <xf numFmtId="0" fontId="5" fillId="10" borderId="23" xfId="0" applyFont="1" applyFill="1" applyBorder="1" applyAlignment="1" applyProtection="1">
      <alignment horizontal="center"/>
    </xf>
    <xf numFmtId="0" fontId="3" fillId="0" borderId="22" xfId="0" applyFont="1" applyBorder="1" applyAlignment="1">
      <alignment horizontal="center"/>
    </xf>
  </cellXfs>
  <cellStyles count="4">
    <cellStyle name="Comma" xfId="3" builtinId="3"/>
    <cellStyle name="Currency" xfId="1" builtinId="4"/>
    <cellStyle name="Normal" xfId="0" builtinId="0"/>
    <cellStyle name="Percent" xfId="2" builtinId="5"/>
  </cellStyles>
  <dxfs count="2">
    <dxf>
      <font>
        <color theme="0"/>
      </font>
    </dxf>
    <dxf>
      <font>
        <color theme="0"/>
      </font>
      <border>
        <left/>
        <right/>
        <top/>
        <bottom/>
        <vertical/>
        <horizontal/>
      </border>
    </dxf>
  </dxfs>
  <tableStyles count="0" defaultTableStyle="TableStyleMedium2" defaultPivotStyle="PivotStyleLight16"/>
  <colors>
    <mruColors>
      <color rgb="FF8E0000"/>
      <color rgb="FFB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180975</xdr:colOff>
      <xdr:row>0</xdr:row>
      <xdr:rowOff>161925</xdr:rowOff>
    </xdr:from>
    <xdr:to>
      <xdr:col>5</xdr:col>
      <xdr:colOff>1171575</xdr:colOff>
      <xdr:row>3</xdr:row>
      <xdr:rowOff>180888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 y="161925"/>
          <a:ext cx="3152775" cy="6190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333375</xdr:colOff>
      <xdr:row>0</xdr:row>
      <xdr:rowOff>142875</xdr:rowOff>
    </xdr:from>
    <xdr:to>
      <xdr:col>8</xdr:col>
      <xdr:colOff>914400</xdr:colOff>
      <xdr:row>3</xdr:row>
      <xdr:rowOff>161838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7325" y="142875"/>
          <a:ext cx="3152775" cy="6190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1162050</xdr:colOff>
          <xdr:row>1</xdr:row>
          <xdr:rowOff>19050</xdr:rowOff>
        </xdr:from>
        <xdr:to>
          <xdr:col>2</xdr:col>
          <xdr:colOff>266700</xdr:colOff>
          <xdr:row>5</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lgn="in">
                  <a:solidFill>
                    <a:srgbClr val="000000"/>
                  </a:solidFill>
                  <a:miter lim="800000"/>
                  <a:headEnd/>
                  <a:tailEnd/>
                </a14:hiddenLine>
              </a:ext>
              <a:ext uri="{AF507438-7753-43E0-B8FC-AC1667EBCBE1}">
                <a14:hiddenEffects>
                  <a:effectLst>
                    <a:outerShdw dist="35921" dir="2700000" algn="ctr" rotWithShape="0">
                      <a:srgbClr val="CCCCCC"/>
                    </a:outerShdw>
                  </a:effectLst>
                </a14:hiddenEffects>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3267075</xdr:colOff>
      <xdr:row>52</xdr:row>
      <xdr:rowOff>9526</xdr:rowOff>
    </xdr:from>
    <xdr:to>
      <xdr:col>7</xdr:col>
      <xdr:colOff>7118798</xdr:colOff>
      <xdr:row>65</xdr:row>
      <xdr:rowOff>66676</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8175" y="8448676"/>
          <a:ext cx="3851723" cy="2057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3295650</xdr:colOff>
      <xdr:row>41</xdr:row>
      <xdr:rowOff>85725</xdr:rowOff>
    </xdr:from>
    <xdr:to>
      <xdr:col>7</xdr:col>
      <xdr:colOff>5086350</xdr:colOff>
      <xdr:row>51</xdr:row>
      <xdr:rowOff>47625</xdr:rowOff>
    </xdr:to>
    <xdr:pic>
      <xdr:nvPicPr>
        <xdr:cNvPr id="6" name="Picture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0" y="6886575"/>
          <a:ext cx="17907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3238500</xdr:colOff>
      <xdr:row>90</xdr:row>
      <xdr:rowOff>47626</xdr:rowOff>
    </xdr:from>
    <xdr:to>
      <xdr:col>7</xdr:col>
      <xdr:colOff>6470933</xdr:colOff>
      <xdr:row>98</xdr:row>
      <xdr:rowOff>123826</xdr:rowOff>
    </xdr:to>
    <xdr:pic>
      <xdr:nvPicPr>
        <xdr:cNvPr id="7" name="Picture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29600" y="14535151"/>
          <a:ext cx="3232433"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3248025</xdr:colOff>
      <xdr:row>67</xdr:row>
      <xdr:rowOff>123825</xdr:rowOff>
    </xdr:from>
    <xdr:to>
      <xdr:col>7</xdr:col>
      <xdr:colOff>7194996</xdr:colOff>
      <xdr:row>89</xdr:row>
      <xdr:rowOff>66675</xdr:rowOff>
    </xdr:to>
    <xdr:pic>
      <xdr:nvPicPr>
        <xdr:cNvPr id="8" name="Picture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239125" y="10887075"/>
          <a:ext cx="3946971"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Q37"/>
  <sheetViews>
    <sheetView showGridLines="0" showRowColHeaders="0" tabSelected="1" zoomScaleNormal="100" workbookViewId="0">
      <selection activeCell="E13" sqref="E13:G13"/>
    </sheetView>
  </sheetViews>
  <sheetFormatPr defaultRowHeight="15.75" x14ac:dyDescent="0.2"/>
  <cols>
    <col min="1" max="1" width="6.7109375" style="15" customWidth="1"/>
    <col min="2" max="2" width="2.7109375" style="15" customWidth="1"/>
    <col min="3" max="3" width="4.85546875" style="15" customWidth="1"/>
    <col min="4" max="4" width="17.7109375" style="15" customWidth="1"/>
    <col min="5" max="5" width="9.85546875" style="15" customWidth="1"/>
    <col min="6" max="6" width="18.42578125" style="15" customWidth="1"/>
    <col min="7" max="7" width="3.7109375" style="15" customWidth="1"/>
    <col min="8" max="8" width="6.7109375" style="24" customWidth="1"/>
    <col min="9" max="9" width="10.7109375" style="25" hidden="1" customWidth="1"/>
    <col min="10" max="10" width="0" style="25" hidden="1" customWidth="1"/>
    <col min="11" max="16" width="0" style="26" hidden="1" customWidth="1"/>
    <col min="17" max="17" width="9.140625" style="26"/>
    <col min="18" max="16384" width="9.140625" style="15"/>
  </cols>
  <sheetData>
    <row r="2" spans="2:13" x14ac:dyDescent="0.2">
      <c r="H2" s="33"/>
    </row>
    <row r="3" spans="2:13" x14ac:dyDescent="0.2">
      <c r="H3" s="33"/>
    </row>
    <row r="4" spans="2:13" x14ac:dyDescent="0.2">
      <c r="H4" s="33"/>
    </row>
    <row r="5" spans="2:13" x14ac:dyDescent="0.2">
      <c r="B5" s="101" t="s">
        <v>46</v>
      </c>
      <c r="C5" s="101"/>
      <c r="D5" s="101"/>
      <c r="E5" s="101"/>
      <c r="F5" s="101"/>
      <c r="G5" s="101"/>
      <c r="H5" s="33"/>
    </row>
    <row r="6" spans="2:13" ht="24" customHeight="1" x14ac:dyDescent="0.3">
      <c r="B6" s="111" t="s">
        <v>68</v>
      </c>
      <c r="C6" s="111"/>
      <c r="D6" s="111"/>
      <c r="E6" s="111"/>
      <c r="F6" s="111"/>
      <c r="G6" s="111"/>
      <c r="H6" s="33"/>
      <c r="I6" s="25" t="s">
        <v>41</v>
      </c>
    </row>
    <row r="7" spans="2:13" ht="18.75" x14ac:dyDescent="0.2">
      <c r="B7" s="104" t="s">
        <v>69</v>
      </c>
      <c r="C7" s="104"/>
      <c r="D7" s="104"/>
      <c r="E7" s="104"/>
      <c r="F7" s="104"/>
      <c r="G7" s="104"/>
      <c r="H7" s="63"/>
      <c r="I7" s="25" t="s">
        <v>40</v>
      </c>
    </row>
    <row r="8" spans="2:13" x14ac:dyDescent="0.2">
      <c r="B8" s="105" t="str">
        <f>"Rates Effective " &amp;Tables!H5</f>
        <v>Rates Effective September 16, 2022</v>
      </c>
      <c r="C8" s="105"/>
      <c r="D8" s="105"/>
      <c r="E8" s="105"/>
      <c r="F8" s="105"/>
      <c r="G8" s="105"/>
      <c r="H8" s="63"/>
      <c r="I8" s="25" t="s">
        <v>36</v>
      </c>
      <c r="K8" s="26">
        <f>IF(F10=0,0,5)</f>
        <v>5</v>
      </c>
      <c r="L8" s="26" t="s">
        <v>55</v>
      </c>
    </row>
    <row r="9" spans="2:13" x14ac:dyDescent="0.2">
      <c r="H9" s="63"/>
      <c r="I9" s="25" t="s">
        <v>24</v>
      </c>
      <c r="K9" s="26">
        <f>IF(F11=0,0,10)</f>
        <v>10</v>
      </c>
      <c r="L9" s="26" t="s">
        <v>56</v>
      </c>
    </row>
    <row r="10" spans="2:13" ht="18.75" x14ac:dyDescent="0.2">
      <c r="B10" s="107" t="s">
        <v>34</v>
      </c>
      <c r="C10" s="107"/>
      <c r="D10" s="107"/>
      <c r="E10" s="108"/>
      <c r="F10" s="109">
        <v>100000</v>
      </c>
      <c r="G10" s="110"/>
      <c r="H10" s="64"/>
      <c r="I10" s="25" t="s">
        <v>41</v>
      </c>
      <c r="K10" s="26">
        <f>SUM(K8:K9)</f>
        <v>15</v>
      </c>
      <c r="L10" s="26" t="s">
        <v>54</v>
      </c>
    </row>
    <row r="11" spans="2:13" ht="18.75" x14ac:dyDescent="0.2">
      <c r="B11" s="107" t="s">
        <v>35</v>
      </c>
      <c r="C11" s="107"/>
      <c r="D11" s="107"/>
      <c r="E11" s="108"/>
      <c r="F11" s="109">
        <v>150000</v>
      </c>
      <c r="G11" s="110"/>
      <c r="H11" s="64"/>
      <c r="I11" s="25" t="s">
        <v>39</v>
      </c>
    </row>
    <row r="12" spans="2:13" ht="24" customHeight="1" x14ac:dyDescent="0.2">
      <c r="C12" s="106" t="str">
        <f>IF(E13="(select from list here)","",IF(E13="N/A","",IF(E13="","",IF(K10=5,"You have not entered an Owner's Policy amount. Please select N/A from Type of Owner's Policy or enter an Owner's Policy amount.",""))))</f>
        <v/>
      </c>
      <c r="D12" s="106"/>
      <c r="E12" s="106"/>
      <c r="F12" s="106"/>
      <c r="G12" s="106"/>
      <c r="H12" s="63"/>
      <c r="I12" s="25" t="s">
        <v>37</v>
      </c>
      <c r="L12" s="26">
        <f>IF(E15="Simultaneous Issue",1,0)</f>
        <v>0</v>
      </c>
      <c r="M12" s="26" t="s">
        <v>57</v>
      </c>
    </row>
    <row r="13" spans="2:13" x14ac:dyDescent="0.2">
      <c r="C13" s="15" t="s">
        <v>42</v>
      </c>
      <c r="E13" s="103" t="s">
        <v>36</v>
      </c>
      <c r="F13" s="103"/>
      <c r="G13" s="103"/>
      <c r="H13" s="63"/>
      <c r="I13" s="25" t="s">
        <v>53</v>
      </c>
      <c r="L13" s="26">
        <f>IF(E15="Comparison",1,IF(E15="Full Comparison",1,0))</f>
        <v>1</v>
      </c>
      <c r="M13" s="26" t="s">
        <v>53</v>
      </c>
    </row>
    <row r="14" spans="2:13" ht="24" customHeight="1" x14ac:dyDescent="0.2">
      <c r="C14" s="106" t="str">
        <f>IF(K9=0,"",IF(K9="","",IF(E15="(select from list here)","",IF(E15="","",IF(E13="Enhanced","",IF(E13="Standard","","You have entered an Owner's Policy amount. Please select Type of Owner's Policy or delete Owner's Policy amount."))))))</f>
        <v/>
      </c>
      <c r="D14" s="106"/>
      <c r="E14" s="106"/>
      <c r="F14" s="106"/>
      <c r="G14" s="106"/>
      <c r="H14" s="63"/>
      <c r="I14" s="25" t="s">
        <v>38</v>
      </c>
    </row>
    <row r="15" spans="2:13" x14ac:dyDescent="0.2">
      <c r="C15" s="15" t="s">
        <v>43</v>
      </c>
      <c r="E15" s="103" t="s">
        <v>38</v>
      </c>
      <c r="F15" s="103"/>
      <c r="G15" s="103"/>
      <c r="H15" s="63"/>
    </row>
    <row r="16" spans="2:13" ht="24" customHeight="1" x14ac:dyDescent="0.2">
      <c r="C16" s="106" t="str">
        <f>IF(E15="(select from list here)","",IF(E15="Single Issue","",IF(E15="","",IF(K10=5,"You have entered only one policy amount. Please select Single Issue from Premiums to Calculate or enter another policy amount.",IF(K10+L12=11,"You have entered only one policy amount. Please select Single Issue from Premiums to Calculate or enter another policy amount.","")))))</f>
        <v/>
      </c>
      <c r="D16" s="106"/>
      <c r="E16" s="106"/>
      <c r="F16" s="106"/>
      <c r="G16" s="106"/>
      <c r="H16" s="63"/>
      <c r="I16" s="25">
        <f>IF(E15="(select from list here)",0,IF(E13="Standard",1,IF(E13="Enhanced",10,0)))</f>
        <v>10</v>
      </c>
      <c r="J16" s="25" t="s">
        <v>44</v>
      </c>
    </row>
    <row r="17" spans="4:11" x14ac:dyDescent="0.2">
      <c r="D17" s="102" t="str">
        <f>IF(F10+F11=0,"",IF(C16&lt;&gt;"","",IF(E15="(select from list here)","",IF(E15="","",IF(E15="Single Issue","",IF(E15="Simultaneous Issue","","Premiums based on Selections:"))))))</f>
        <v>Premiums based on Selections:</v>
      </c>
      <c r="E17" s="102"/>
      <c r="F17" s="102"/>
      <c r="H17" s="63"/>
      <c r="I17" s="25">
        <f>IF(E15="(select from list here)",0,IF(K10=5,3,IF(K10=10,3,IF(E15="Single Issue",7,5))))</f>
        <v>5</v>
      </c>
      <c r="J17" s="25" t="s">
        <v>67</v>
      </c>
    </row>
    <row r="18" spans="4:11" ht="18.75" x14ac:dyDescent="0.2">
      <c r="D18" s="17" t="str">
        <f>IF(C16&lt;&gt;"","",IF(F10+F11=0,"",IF(E15="(select from list here)","",IF(E15=0,"",IF(F10=0,"Owner's Policy","Loan Policy")))))</f>
        <v>Loan Policy</v>
      </c>
      <c r="E18" s="16" t="str">
        <f>IF(C16&lt;&gt;"","",IF(D18&lt;&gt;"Owner's Policy","",IF(E13="(select from list here)","select type",IF(E13="N/A","select type",IF(E13=0,"select type",IF(E13="Enhanced","(Enhanced)","(Standard)"))))))</f>
        <v/>
      </c>
      <c r="F18" s="19">
        <f>IF(F10+F11=0,"",IF(C16&lt;&gt;"","",IF(E15="","",IF(D18="Loan Policy",Rates!C29,IF(E18="select type","",IF(I18=4,Rates!C32,IF(I18=13,Rates!C31,"")))))))</f>
        <v>340</v>
      </c>
      <c r="H18" s="63"/>
      <c r="I18" s="25">
        <f>SUM(I16:I17)</f>
        <v>15</v>
      </c>
      <c r="J18" s="25" t="s">
        <v>10</v>
      </c>
    </row>
    <row r="19" spans="4:11" ht="18.75" x14ac:dyDescent="0.2">
      <c r="D19" s="17" t="str">
        <f>IF(C16&lt;&gt;"","",IF(F10+F11=0,"",IF(E15=0,"",IF(E15="(select from list here)","",IF(F10=0,"",IF(F11=0,"","Owner's Policy"))))))</f>
        <v>Owner's Policy</v>
      </c>
      <c r="E19" s="16" t="str">
        <f>IF(C16&lt;&gt;"","",IF(D19&lt;&gt;"Owner's Policy","",IF(E13="(select from list here)","select type",IF(E13=0,"select type",IF(E13="N/A","select type",IF(E13="Enhanced","(Enhanced)","(Standard)"))))))</f>
        <v>(Enhanced)</v>
      </c>
      <c r="F19" s="19">
        <f>IF(C16&lt;&gt;"","",IF(E19=0,"",IF(E19="","",IF(I18=4,Rates!C32,IF(I18=13,Rates!C31,IF(I18=6,Rates!C22,IF(I18=15,Rates!C17,IF(I18=8,Rates!C32,IF(I18=17,Rates!C31,"")))))))))</f>
        <v>673</v>
      </c>
      <c r="H19" s="63"/>
    </row>
    <row r="20" spans="4:11" ht="36" customHeight="1" x14ac:dyDescent="0.2">
      <c r="D20" s="112" t="str">
        <f>IF(K10&lt;&gt;15,"",IF(E15&lt;&gt;"Single Issue","","The premiums above are for SINGLE Issue policies. Please select Simultaneous Issue from Premiums to Calculate."))</f>
        <v/>
      </c>
      <c r="E20" s="112"/>
      <c r="F20" s="112"/>
      <c r="H20" s="63"/>
    </row>
    <row r="21" spans="4:11" x14ac:dyDescent="0.2">
      <c r="D21" s="102" t="str">
        <f>IF(F10+F11=0,"",IF(C16&lt;&gt;"","",IF(E15="(select from list here)","",IF(E15="","",IF(E15="Single Issue","",IF(E15="Simultaneous Issue","","Comparison:"))))))</f>
        <v>Comparison:</v>
      </c>
      <c r="E21" s="102"/>
      <c r="F21" s="102"/>
      <c r="H21" s="63"/>
      <c r="I21" s="25">
        <f>IF(E15="(select from list here)",0,IF(E23="(Standard)",1,IF(E23="(Enhanced)",10,0)))</f>
        <v>1</v>
      </c>
      <c r="J21" s="25" t="s">
        <v>44</v>
      </c>
    </row>
    <row r="22" spans="4:11" ht="18.75" x14ac:dyDescent="0.2">
      <c r="D22" s="17" t="str">
        <f>IF(D21&lt;&gt;"Comparison:","",IF(C16&lt;&gt;"","",IF(F10+F11=0,"",IF(E15="(select from list here)","",IF(E15=0,"",IF(F10=0,"Owner's Policy","Loan Policy"))))))</f>
        <v>Loan Policy</v>
      </c>
      <c r="E22" s="16" t="str">
        <f>IF(D22="","",IF(D22=0,"",IF(D22&lt;&gt;"Owner's Policy","",IF(E18="select type","select type",IF(E13="Enhanced","(Standard)","(Enhanced)")))))</f>
        <v/>
      </c>
      <c r="F22" s="18">
        <f>IF(D22=0,"",IF(D22="","",IF(K10=15,F18,IF(E22="(Enhanced)",Rates!C31,Rates!C32))))</f>
        <v>340</v>
      </c>
      <c r="H22" s="63"/>
      <c r="I22" s="25">
        <f>IF(E15="(select from list here)",0,IF(K10=5,3,IF(K10=10,3,5)))</f>
        <v>5</v>
      </c>
      <c r="J22" s="25" t="s">
        <v>45</v>
      </c>
    </row>
    <row r="23" spans="4:11" ht="18.75" x14ac:dyDescent="0.2">
      <c r="D23" s="17" t="str">
        <f>IF(D21&lt;&gt;"Comparison:","",IF(C16&lt;&gt;"","",IF(F10+F11=0,"",IF(E15=0,"",IF(E15="(select from list here)","",IF(F10=0,"",IF(F11=0,"","Owner's Policy")))))))</f>
        <v>Owner's Policy</v>
      </c>
      <c r="E23" s="16" t="str">
        <f>IF(D23="","",IF(D23=0,"",IF(E19="select type","select type",IF(E13="Enhanced","(Standard)","(Enhanced)"))))</f>
        <v>(Standard)</v>
      </c>
      <c r="F23" s="18">
        <f>IF(E19=0,"",IF(E19="","",IF(I23=6,Rates!C22,IF(I23=15,Rates!C17,""))))</f>
        <v>537.5</v>
      </c>
      <c r="H23" s="63"/>
      <c r="I23" s="25">
        <f>SUM(I21:I22)</f>
        <v>6</v>
      </c>
      <c r="J23" s="25" t="s">
        <v>10</v>
      </c>
    </row>
    <row r="24" spans="4:11" ht="18.75" x14ac:dyDescent="0.2">
      <c r="D24" s="17"/>
      <c r="E24" s="16"/>
      <c r="F24" s="18"/>
      <c r="H24" s="63"/>
    </row>
    <row r="25" spans="4:11" x14ac:dyDescent="0.2">
      <c r="E25" s="20"/>
      <c r="F25" s="21"/>
      <c r="H25" s="63"/>
      <c r="J25" s="34">
        <f>IF(F18&gt;F22,F18-F22,F22-F18)</f>
        <v>0</v>
      </c>
      <c r="K25" s="26" t="s">
        <v>58</v>
      </c>
    </row>
    <row r="26" spans="4:11" x14ac:dyDescent="0.2">
      <c r="D26" s="102" t="str">
        <f>IF(F10+F11=0,"",IF(C16&lt;&gt;"","",IF(E15="(select from list here)","",IF(E15="","",IF(E15="Single Issue","",IF(E15="Simultaneous Issue","","Difference: Selection vs. Comparison"))))))</f>
        <v>Difference: Selection vs. Comparison</v>
      </c>
      <c r="E26" s="102"/>
      <c r="F26" s="102"/>
      <c r="H26" s="63"/>
      <c r="J26" s="25" t="str">
        <f>IF(F18&gt;F22,"Selection &gt; Comparison by","Selection &lt; Comparison by")</f>
        <v>Selection &lt; Comparison by</v>
      </c>
    </row>
    <row r="27" spans="4:11" ht="18.75" x14ac:dyDescent="0.2">
      <c r="D27" s="23" t="str">
        <f>IF(D26=0,"",IF(D26="","",IF(K10+L13=11,J26,J29)))</f>
        <v>Selection &gt; Comparison by</v>
      </c>
      <c r="E27" s="22"/>
      <c r="F27" s="18">
        <f>IF(D26=0,"",IF(D26="","",IF(K10+L13=11,J25,J28)))</f>
        <v>135.5</v>
      </c>
      <c r="H27" s="63"/>
    </row>
    <row r="28" spans="4:11" x14ac:dyDescent="0.2">
      <c r="H28" s="63"/>
      <c r="J28" s="34">
        <f>IF(F19&gt;F23,F19-F23,F23-F19)</f>
        <v>135.5</v>
      </c>
      <c r="K28" s="26" t="s">
        <v>59</v>
      </c>
    </row>
    <row r="29" spans="4:11" x14ac:dyDescent="0.2">
      <c r="H29" s="63"/>
      <c r="J29" s="25" t="str">
        <f>IF(F19&gt;F23,"Selection &gt; Comparison by","Selection &lt; Comparison by")</f>
        <v>Selection &gt; Comparison by</v>
      </c>
    </row>
    <row r="30" spans="4:11" x14ac:dyDescent="0.2">
      <c r="D30" s="102" t="str">
        <f>IF(F10+F11=0,"",IF(C16&lt;&gt;"","",IF(E15="Full Comparison","Single Issue:","")))</f>
        <v>Single Issue:</v>
      </c>
      <c r="E30" s="102"/>
      <c r="F30" s="102"/>
      <c r="H30" s="63"/>
    </row>
    <row r="31" spans="4:11" ht="18.75" x14ac:dyDescent="0.2">
      <c r="D31" s="17" t="str">
        <f>IF(D30&lt;&gt;"Single Issue:","","Loan Policy")</f>
        <v>Loan Policy</v>
      </c>
      <c r="F31" s="18">
        <f>IF(D30=0,"",IF(D30="","",Rates!C29))</f>
        <v>340</v>
      </c>
      <c r="H31" s="63"/>
    </row>
    <row r="32" spans="4:11" ht="18.75" x14ac:dyDescent="0.2">
      <c r="D32" s="17" t="str">
        <f>IF(D30&lt;&gt;"Single Issue:","","Owner's Policy")</f>
        <v>Owner's Policy</v>
      </c>
      <c r="E32" s="16" t="str">
        <f>IF(D32=0,"",IF(D32="","","(Enhanced)"))</f>
        <v>(Enhanced)</v>
      </c>
      <c r="F32" s="18">
        <f>IF(D30=0,"",IF(D30="","",Rates!C31))</f>
        <v>813</v>
      </c>
      <c r="H32" s="63"/>
    </row>
    <row r="33" spans="1:10" ht="18.75" x14ac:dyDescent="0.2">
      <c r="D33" s="17" t="str">
        <f>IF(D30&lt;&gt;"Single Issue:","","Owner's Policy")</f>
        <v>Owner's Policy</v>
      </c>
      <c r="E33" s="16" t="str">
        <f>IF(D32=0,"",IF(D32="","","(Standard)"))</f>
        <v>(Standard)</v>
      </c>
      <c r="F33" s="18">
        <f>IF(D30=0,"",IF(D30="","",Rates!C32))</f>
        <v>677.5</v>
      </c>
    </row>
    <row r="34" spans="1:10" ht="8.1" customHeight="1" x14ac:dyDescent="0.2">
      <c r="D34" s="17"/>
      <c r="E34" s="16"/>
      <c r="F34" s="18"/>
    </row>
    <row r="35" spans="1:10" ht="15.75" customHeight="1" x14ac:dyDescent="0.2">
      <c r="A35" s="100" t="s">
        <v>48</v>
      </c>
      <c r="B35" s="100"/>
      <c r="C35" s="100"/>
      <c r="D35" s="100"/>
      <c r="E35" s="100"/>
      <c r="F35" s="100"/>
      <c r="G35" s="100"/>
      <c r="H35" s="100"/>
      <c r="I35" s="35"/>
      <c r="J35" s="35"/>
    </row>
    <row r="36" spans="1:10" ht="66" customHeight="1" x14ac:dyDescent="0.2">
      <c r="A36" s="100" t="s">
        <v>66</v>
      </c>
      <c r="B36" s="100"/>
      <c r="C36" s="100"/>
      <c r="D36" s="100"/>
      <c r="E36" s="100"/>
      <c r="F36" s="100"/>
      <c r="G36" s="100"/>
      <c r="H36" s="100"/>
      <c r="I36" s="35"/>
      <c r="J36" s="35"/>
    </row>
    <row r="37" spans="1:10" ht="27.95" customHeight="1" x14ac:dyDescent="0.2">
      <c r="A37" s="100" t="s">
        <v>47</v>
      </c>
      <c r="B37" s="100"/>
      <c r="C37" s="100"/>
      <c r="D37" s="100"/>
      <c r="E37" s="100"/>
      <c r="F37" s="100"/>
      <c r="G37" s="100"/>
      <c r="H37" s="100"/>
      <c r="I37" s="35"/>
      <c r="J37" s="35"/>
    </row>
  </sheetData>
  <sheetProtection selectLockedCells="1"/>
  <mergeCells count="21">
    <mergeCell ref="F11:G11"/>
    <mergeCell ref="C14:G14"/>
    <mergeCell ref="D20:F20"/>
    <mergeCell ref="C12:G12"/>
    <mergeCell ref="D17:F17"/>
    <mergeCell ref="A35:H35"/>
    <mergeCell ref="A36:H36"/>
    <mergeCell ref="A37:H37"/>
    <mergeCell ref="B5:G5"/>
    <mergeCell ref="D21:F21"/>
    <mergeCell ref="D30:F30"/>
    <mergeCell ref="E15:G15"/>
    <mergeCell ref="D26:F26"/>
    <mergeCell ref="B7:G7"/>
    <mergeCell ref="B8:G8"/>
    <mergeCell ref="E13:G13"/>
    <mergeCell ref="C16:G16"/>
    <mergeCell ref="B10:E10"/>
    <mergeCell ref="B11:E11"/>
    <mergeCell ref="F10:G10"/>
    <mergeCell ref="B6:G6"/>
  </mergeCells>
  <dataValidations count="3">
    <dataValidation type="decimal" allowBlank="1" showInputMessage="1" showErrorMessage="1" error="Either you have entered a negative # or a # over $30M.  If you have entered a negative #, please click &quot;Cancel&quot; and then enter a positive #.  If you have entered a # over $30M, please contact an underwriter for a quote." sqref="F10:G11" xr:uid="{00000000-0002-0000-0000-000000000000}">
      <formula1>0</formula1>
      <formula2>30000000</formula2>
    </dataValidation>
    <dataValidation type="list" showInputMessage="1" showErrorMessage="1" error="Please click &quot;Cancel&quot; and then make selection from drop-down list." sqref="E13:G13" xr:uid="{00000000-0002-0000-0000-000001000000}">
      <formula1>OTPType</formula1>
    </dataValidation>
    <dataValidation type="list" showInputMessage="1" showErrorMessage="1" error="Please click &quot;Cancel&quot; and then make selection from drop-down list." sqref="E15:G15" xr:uid="{00000000-0002-0000-0000-000002000000}">
      <formula1>CalculateType</formula1>
    </dataValidation>
  </dataValidations>
  <printOptions horizontalCentered="1"/>
  <pageMargins left="0.7" right="0.7" top="0.75" bottom="0.5" header="0.3" footer="0.3"/>
  <pageSetup orientation="portrait" r:id="rId1"/>
  <ignoredErrors>
    <ignoredError sqref="J25 J2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S34"/>
  <sheetViews>
    <sheetView showGridLines="0" showRowColHeaders="0" zoomScaleNormal="100" workbookViewId="0">
      <selection activeCell="G14" sqref="G14:I14"/>
    </sheetView>
  </sheetViews>
  <sheetFormatPr defaultRowHeight="15.75" x14ac:dyDescent="0.2"/>
  <cols>
    <col min="1" max="1" width="5.7109375" style="15" customWidth="1"/>
    <col min="2" max="3" width="5.5703125" style="15" customWidth="1"/>
    <col min="4" max="4" width="7.28515625" style="15" customWidth="1"/>
    <col min="5" max="5" width="10.28515625" style="15" customWidth="1"/>
    <col min="6" max="7" width="9.28515625" style="15" customWidth="1"/>
    <col min="8" max="8" width="2.42578125" style="15" customWidth="1"/>
    <col min="9" max="9" width="14.7109375" style="15" customWidth="1"/>
    <col min="10" max="10" width="14.7109375" style="40" customWidth="1"/>
    <col min="11" max="11" width="5.7109375" style="15" customWidth="1"/>
    <col min="12" max="16384" width="9.140625" style="15"/>
  </cols>
  <sheetData>
    <row r="5" spans="1:19" x14ac:dyDescent="0.2">
      <c r="B5" s="101" t="s">
        <v>46</v>
      </c>
      <c r="C5" s="101"/>
      <c r="D5" s="101"/>
      <c r="E5" s="101"/>
      <c r="F5" s="101"/>
      <c r="G5" s="101"/>
      <c r="H5" s="101"/>
      <c r="I5" s="101"/>
      <c r="J5" s="101"/>
    </row>
    <row r="6" spans="1:19" x14ac:dyDescent="0.2">
      <c r="B6" s="102"/>
      <c r="C6" s="102"/>
      <c r="D6" s="102"/>
      <c r="E6" s="102"/>
      <c r="F6" s="102"/>
      <c r="G6" s="102"/>
      <c r="H6" s="102"/>
      <c r="I6" s="102"/>
      <c r="J6" s="102"/>
    </row>
    <row r="7" spans="1:19" ht="18.75" x14ac:dyDescent="0.2">
      <c r="B7" s="104" t="s">
        <v>70</v>
      </c>
      <c r="C7" s="104"/>
      <c r="D7" s="104"/>
      <c r="E7" s="104"/>
      <c r="F7" s="104"/>
      <c r="G7" s="104"/>
      <c r="H7" s="104"/>
      <c r="I7" s="104"/>
      <c r="J7" s="104"/>
    </row>
    <row r="8" spans="1:19" x14ac:dyDescent="0.2">
      <c r="B8" s="128" t="str">
        <f>Residential!B8</f>
        <v>Rates Effective September 16, 2022</v>
      </c>
      <c r="C8" s="128"/>
      <c r="D8" s="128"/>
      <c r="E8" s="128"/>
      <c r="F8" s="128"/>
      <c r="G8" s="128"/>
      <c r="H8" s="128"/>
      <c r="I8" s="128"/>
      <c r="J8" s="128"/>
    </row>
    <row r="9" spans="1:19" s="26" customFormat="1" x14ac:dyDescent="0.2">
      <c r="A9" s="15"/>
      <c r="B9" s="15"/>
      <c r="C9" s="15"/>
      <c r="D9" s="15"/>
      <c r="E9" s="15"/>
      <c r="F9" s="15"/>
      <c r="G9" s="15"/>
      <c r="H9" s="15"/>
      <c r="I9" s="15"/>
      <c r="J9" s="40"/>
      <c r="K9" s="15"/>
      <c r="L9" s="15"/>
      <c r="M9" s="15"/>
      <c r="N9" s="15"/>
      <c r="O9" s="15"/>
      <c r="P9" s="15"/>
      <c r="Q9" s="15"/>
      <c r="R9" s="15"/>
      <c r="S9" s="15"/>
    </row>
    <row r="10" spans="1:19" s="26" customFormat="1" x14ac:dyDescent="0.2">
      <c r="A10" s="15"/>
      <c r="B10" s="15"/>
      <c r="C10" s="15"/>
      <c r="D10" s="15"/>
      <c r="F10" s="62" t="s">
        <v>60</v>
      </c>
      <c r="G10" s="59">
        <v>0</v>
      </c>
      <c r="H10" s="15"/>
      <c r="I10" s="81" t="str">
        <f>IF(G10=0,"&lt;--Please enter portion (%) retained by Agent.","")</f>
        <v>&lt;--Please enter portion (%) retained by Agent.</v>
      </c>
      <c r="J10" s="40"/>
      <c r="K10" s="15"/>
      <c r="L10" s="15"/>
      <c r="M10" s="15"/>
      <c r="N10" s="15"/>
      <c r="O10" s="15"/>
      <c r="P10" s="15"/>
      <c r="Q10" s="15"/>
      <c r="R10" s="15"/>
      <c r="S10" s="15"/>
    </row>
    <row r="11" spans="1:19" s="26" customFormat="1" x14ac:dyDescent="0.2">
      <c r="A11" s="15"/>
      <c r="B11" s="15"/>
      <c r="C11" s="15"/>
      <c r="D11" s="15"/>
      <c r="F11" s="62" t="s">
        <v>61</v>
      </c>
      <c r="G11" s="36">
        <f>IF(G10=0,0,IF(G10="",0,1-G10))</f>
        <v>0</v>
      </c>
      <c r="H11" s="15"/>
      <c r="I11" s="15"/>
      <c r="J11" s="40"/>
      <c r="K11" s="15"/>
      <c r="L11" s="15"/>
      <c r="M11" s="15"/>
      <c r="N11" s="15"/>
      <c r="O11" s="15"/>
      <c r="P11" s="15"/>
      <c r="Q11" s="15"/>
      <c r="R11" s="15"/>
      <c r="S11" s="15"/>
    </row>
    <row r="12" spans="1:19" s="26" customFormat="1" x14ac:dyDescent="0.2">
      <c r="A12" s="15"/>
      <c r="B12" s="15"/>
      <c r="C12" s="15"/>
      <c r="D12" s="15"/>
      <c r="E12" s="15"/>
      <c r="F12" s="15"/>
      <c r="G12" s="15"/>
      <c r="H12" s="15"/>
      <c r="I12" s="15"/>
      <c r="J12" s="40"/>
      <c r="K12" s="15"/>
      <c r="L12" s="15"/>
      <c r="M12" s="15"/>
      <c r="N12" s="15"/>
      <c r="O12" s="15"/>
      <c r="P12" s="15"/>
      <c r="Q12" s="15"/>
      <c r="R12" s="15"/>
      <c r="S12" s="15"/>
    </row>
    <row r="13" spans="1:19" s="26" customFormat="1" ht="18.75" x14ac:dyDescent="0.2">
      <c r="A13" s="15"/>
      <c r="C13" s="17" t="s">
        <v>34</v>
      </c>
      <c r="D13" s="17"/>
      <c r="E13" s="17"/>
      <c r="F13" s="38"/>
      <c r="G13" s="125"/>
      <c r="H13" s="126"/>
      <c r="I13" s="127"/>
      <c r="J13" s="41"/>
      <c r="K13" s="15"/>
      <c r="L13" s="15"/>
      <c r="M13" s="15"/>
      <c r="N13" s="15"/>
      <c r="O13" s="15"/>
      <c r="P13" s="15"/>
      <c r="Q13" s="15"/>
      <c r="R13" s="15"/>
      <c r="S13" s="15"/>
    </row>
    <row r="14" spans="1:19" s="26" customFormat="1" ht="18.75" x14ac:dyDescent="0.2">
      <c r="A14" s="15"/>
      <c r="C14" s="17" t="s">
        <v>35</v>
      </c>
      <c r="D14" s="17"/>
      <c r="E14" s="17"/>
      <c r="F14" s="38"/>
      <c r="G14" s="125"/>
      <c r="H14" s="126"/>
      <c r="I14" s="127"/>
      <c r="J14" s="41"/>
      <c r="K14" s="15"/>
      <c r="L14" s="15"/>
      <c r="M14" s="15"/>
      <c r="N14" s="15"/>
      <c r="O14" s="15"/>
      <c r="P14" s="15"/>
      <c r="Q14" s="15"/>
      <c r="R14" s="15"/>
      <c r="S14" s="15"/>
    </row>
    <row r="15" spans="1:19" s="26" customFormat="1" ht="24" customHeight="1" x14ac:dyDescent="0.2">
      <c r="A15" s="15"/>
      <c r="B15" s="15"/>
      <c r="C15" s="15"/>
      <c r="D15" s="124" t="str">
        <f>IF(G13+G14=0,"Please enter policy amounts and make selections on Residential sheet.  Information is copied to Remittance sheet.",IF(Residential!C12&lt;&gt;"","Errors on Residential sheet. Please double-check selections.",IF(Residential!C14&lt;&gt;"","Errors on Residential sheet. Please double-check selections.",IF(Residential!C16&lt;&gt;"","Errors on Residential sheet. Please double-check selections.",IF(Residential!D20&lt;&gt;"","Errors on Residential sheet. Please double-check selections.","")))))</f>
        <v>Please enter policy amounts and make selections on Residential sheet.  Information is copied to Remittance sheet.</v>
      </c>
      <c r="E15" s="124"/>
      <c r="F15" s="124"/>
      <c r="G15" s="124"/>
      <c r="H15" s="124"/>
      <c r="I15" s="124"/>
      <c r="J15" s="40"/>
      <c r="K15" s="15"/>
      <c r="L15" s="15"/>
      <c r="M15" s="15"/>
      <c r="N15" s="15"/>
      <c r="O15" s="15"/>
      <c r="P15" s="15"/>
      <c r="Q15" s="15"/>
      <c r="R15" s="15"/>
      <c r="S15" s="15"/>
    </row>
    <row r="16" spans="1:19" s="26" customFormat="1" x14ac:dyDescent="0.2">
      <c r="A16" s="15"/>
      <c r="D16" s="15" t="s">
        <v>42</v>
      </c>
      <c r="F16" s="39"/>
      <c r="G16" s="15" t="str">
        <f>IF(Residential!E13="(select from list here)","",Residential!E13)</f>
        <v>Enhanced</v>
      </c>
      <c r="H16" s="15"/>
      <c r="I16" s="39"/>
      <c r="J16" s="40"/>
      <c r="K16" s="15"/>
      <c r="L16" s="15"/>
      <c r="M16" s="15"/>
      <c r="N16" s="15"/>
      <c r="O16" s="15"/>
      <c r="P16" s="15"/>
      <c r="Q16" s="15"/>
      <c r="R16" s="15"/>
      <c r="S16" s="15"/>
    </row>
    <row r="17" spans="1:19" s="26" customFormat="1" x14ac:dyDescent="0.2">
      <c r="A17" s="15"/>
      <c r="D17" s="15" t="s">
        <v>64</v>
      </c>
      <c r="F17" s="39"/>
      <c r="G17" s="15" t="str">
        <f>IF(Residential!E15="(select from list here)","",Residential!E15)</f>
        <v>Full Comparison</v>
      </c>
      <c r="H17" s="15"/>
      <c r="I17" s="39"/>
      <c r="J17" s="40"/>
      <c r="K17" s="15"/>
      <c r="L17" s="15"/>
      <c r="M17" s="15"/>
      <c r="N17" s="15"/>
      <c r="O17" s="15"/>
      <c r="P17" s="15"/>
      <c r="Q17" s="15"/>
      <c r="R17" s="15"/>
      <c r="S17" s="15"/>
    </row>
    <row r="18" spans="1:19" s="26" customFormat="1" x14ac:dyDescent="0.2">
      <c r="A18" s="15"/>
      <c r="D18" s="15"/>
      <c r="F18" s="39"/>
      <c r="G18" s="15"/>
      <c r="H18" s="15"/>
      <c r="I18" s="39"/>
      <c r="J18" s="40"/>
      <c r="K18" s="15"/>
      <c r="L18" s="15"/>
      <c r="M18" s="15"/>
      <c r="N18" s="15"/>
      <c r="O18" s="15"/>
      <c r="P18" s="15"/>
      <c r="Q18" s="15"/>
      <c r="R18" s="15"/>
      <c r="S18" s="15"/>
    </row>
    <row r="19" spans="1:19" s="26" customFormat="1" x14ac:dyDescent="0.2">
      <c r="A19" s="15"/>
      <c r="B19" s="117" t="s">
        <v>5</v>
      </c>
      <c r="C19" s="117"/>
      <c r="D19" s="117"/>
      <c r="E19" s="117"/>
      <c r="F19" s="117"/>
      <c r="G19" s="117"/>
      <c r="H19" s="37"/>
      <c r="I19" s="116" t="s">
        <v>62</v>
      </c>
      <c r="J19" s="116"/>
      <c r="K19" s="51"/>
      <c r="L19" s="15"/>
      <c r="M19" s="15"/>
      <c r="N19" s="15"/>
      <c r="O19" s="15"/>
      <c r="P19" s="15"/>
      <c r="Q19" s="15"/>
      <c r="R19" s="15"/>
      <c r="S19" s="15"/>
    </row>
    <row r="20" spans="1:19" s="26" customFormat="1" x14ac:dyDescent="0.2">
      <c r="A20" s="15"/>
      <c r="B20" s="113" t="str">
        <f>Residential!D17</f>
        <v>Premiums based on Selections:</v>
      </c>
      <c r="C20" s="114"/>
      <c r="D20" s="114"/>
      <c r="E20" s="114"/>
      <c r="F20" s="114"/>
      <c r="G20" s="115"/>
      <c r="H20" s="48"/>
      <c r="I20" s="52" t="s">
        <v>60</v>
      </c>
      <c r="J20" s="53" t="s">
        <v>61</v>
      </c>
      <c r="K20" s="15"/>
      <c r="L20" s="15"/>
      <c r="M20" s="15"/>
      <c r="N20" s="15"/>
      <c r="O20" s="15"/>
      <c r="P20" s="15"/>
      <c r="Q20" s="15"/>
      <c r="R20" s="15"/>
      <c r="S20" s="15"/>
    </row>
    <row r="21" spans="1:19" s="26" customFormat="1" ht="18.75" x14ac:dyDescent="0.2">
      <c r="A21" s="15"/>
      <c r="B21" s="42" t="str">
        <f>Residential!D18</f>
        <v>Loan Policy</v>
      </c>
      <c r="C21" s="60"/>
      <c r="D21" s="43"/>
      <c r="E21" s="44" t="str">
        <f>Residential!E18</f>
        <v/>
      </c>
      <c r="F21" s="118">
        <f>IF(D15&lt;&gt;"",0,Residential!F18)</f>
        <v>0</v>
      </c>
      <c r="G21" s="119"/>
      <c r="H21" s="49"/>
      <c r="I21" s="54">
        <f>IF(F21=0,0,IF(F21="",0,F21*G$10))</f>
        <v>0</v>
      </c>
      <c r="J21" s="55">
        <f>IF(F21=0,0,IF(F21="",0,IF(G$10=0,0,F21-I21)))</f>
        <v>0</v>
      </c>
      <c r="K21" s="15"/>
      <c r="L21" s="15"/>
      <c r="M21" s="15"/>
      <c r="N21" s="15"/>
      <c r="O21" s="15"/>
      <c r="P21" s="15"/>
      <c r="Q21" s="15"/>
      <c r="R21" s="15"/>
      <c r="S21" s="15"/>
    </row>
    <row r="22" spans="1:19" s="26" customFormat="1" ht="19.5" thickBot="1" x14ac:dyDescent="0.25">
      <c r="A22" s="15"/>
      <c r="B22" s="42" t="str">
        <f>Residential!D19</f>
        <v>Owner's Policy</v>
      </c>
      <c r="C22" s="60"/>
      <c r="D22" s="43"/>
      <c r="E22" s="44" t="str">
        <f>Residential!E19</f>
        <v>(Enhanced)</v>
      </c>
      <c r="F22" s="120">
        <f>IF(D15&lt;&gt;"",0,Residential!F19)</f>
        <v>0</v>
      </c>
      <c r="G22" s="121"/>
      <c r="H22" s="50"/>
      <c r="I22" s="56">
        <f>IF(F22=0,0,IF(F22="",0,F22*G$10))</f>
        <v>0</v>
      </c>
      <c r="J22" s="55">
        <f>IF(F22=0,0,IF(F22="",0,IF(G$10=0,0,F22-I22)))</f>
        <v>0</v>
      </c>
      <c r="K22" s="15"/>
      <c r="L22" s="15"/>
      <c r="M22" s="15"/>
      <c r="N22" s="15"/>
      <c r="O22" s="15"/>
      <c r="P22" s="15"/>
      <c r="Q22" s="15"/>
      <c r="R22" s="15"/>
      <c r="S22" s="15"/>
    </row>
    <row r="23" spans="1:19" s="26" customFormat="1" ht="19.5" thickBot="1" x14ac:dyDescent="0.25">
      <c r="A23" s="15"/>
      <c r="B23" s="45"/>
      <c r="C23" s="46"/>
      <c r="D23" s="46"/>
      <c r="E23" s="47" t="s">
        <v>10</v>
      </c>
      <c r="F23" s="120">
        <f>SUM(F21:F22)</f>
        <v>0</v>
      </c>
      <c r="G23" s="121"/>
      <c r="H23" s="50"/>
      <c r="I23" s="56">
        <f>SUM(I21:I22)</f>
        <v>0</v>
      </c>
      <c r="J23" s="58">
        <f>SUM(J21:J22)</f>
        <v>0</v>
      </c>
      <c r="K23" s="15"/>
      <c r="L23" s="15"/>
      <c r="M23" s="15"/>
      <c r="N23" s="15"/>
      <c r="O23" s="15"/>
      <c r="P23" s="15"/>
      <c r="Q23" s="15"/>
      <c r="R23" s="15"/>
      <c r="S23" s="15"/>
    </row>
    <row r="24" spans="1:19" s="26" customFormat="1" ht="18.75" x14ac:dyDescent="0.2">
      <c r="A24" s="15"/>
      <c r="B24" s="15"/>
      <c r="C24" s="15"/>
      <c r="D24" s="15"/>
      <c r="E24" s="17"/>
      <c r="F24" s="129" t="s">
        <v>65</v>
      </c>
      <c r="G24" s="129"/>
      <c r="H24" s="129"/>
      <c r="I24" s="129"/>
      <c r="J24" s="57" t="s">
        <v>63</v>
      </c>
      <c r="K24" s="15"/>
      <c r="L24" s="15"/>
      <c r="M24" s="15"/>
      <c r="N24" s="15"/>
      <c r="O24" s="15"/>
      <c r="P24" s="15"/>
      <c r="Q24" s="15"/>
      <c r="R24" s="15"/>
      <c r="S24" s="15"/>
    </row>
    <row r="25" spans="1:19" s="26" customFormat="1" ht="8.25" customHeight="1" x14ac:dyDescent="0.2">
      <c r="A25" s="15"/>
      <c r="B25" s="15"/>
      <c r="C25" s="15"/>
      <c r="D25" s="15"/>
      <c r="E25" s="17"/>
      <c r="F25" s="129"/>
      <c r="G25" s="129"/>
      <c r="H25" s="129"/>
      <c r="I25" s="129"/>
      <c r="J25" s="57"/>
      <c r="K25" s="15"/>
      <c r="L25" s="15"/>
      <c r="M25" s="15"/>
      <c r="N25" s="15"/>
      <c r="O25" s="15"/>
      <c r="P25" s="15"/>
      <c r="Q25" s="15"/>
      <c r="R25" s="15"/>
      <c r="S25" s="15"/>
    </row>
    <row r="26" spans="1:19" s="26" customFormat="1" x14ac:dyDescent="0.2">
      <c r="A26" s="15"/>
      <c r="B26" s="113" t="str">
        <f>Residential!D21</f>
        <v>Comparison:</v>
      </c>
      <c r="C26" s="114"/>
      <c r="D26" s="114"/>
      <c r="E26" s="114"/>
      <c r="F26" s="114"/>
      <c r="G26" s="115"/>
      <c r="H26" s="48"/>
      <c r="I26" s="52" t="s">
        <v>60</v>
      </c>
      <c r="J26" s="53" t="s">
        <v>61</v>
      </c>
      <c r="K26" s="15"/>
      <c r="L26" s="15"/>
      <c r="N26" s="15"/>
      <c r="O26" s="15"/>
      <c r="P26" s="15"/>
      <c r="Q26" s="15"/>
      <c r="R26" s="15"/>
      <c r="S26" s="15"/>
    </row>
    <row r="27" spans="1:19" s="26" customFormat="1" ht="18.75" x14ac:dyDescent="0.2">
      <c r="A27" s="15"/>
      <c r="B27" s="42" t="str">
        <f>Residential!D22</f>
        <v>Loan Policy</v>
      </c>
      <c r="C27" s="60"/>
      <c r="D27" s="43"/>
      <c r="E27" s="44" t="str">
        <f>Residential!E22</f>
        <v/>
      </c>
      <c r="F27" s="122">
        <f>IF(D15&lt;&gt;"",0,Residential!F22)</f>
        <v>0</v>
      </c>
      <c r="G27" s="123"/>
      <c r="H27" s="50"/>
      <c r="I27" s="54">
        <f>IF(F27=0,0,IF(F27="",0,F27*G$10))</f>
        <v>0</v>
      </c>
      <c r="J27" s="55">
        <f>IF(F27=0,0,IF(F27="",0,IF(G$10=0,0,F27-I27)))</f>
        <v>0</v>
      </c>
      <c r="K27" s="15"/>
      <c r="L27" s="15"/>
      <c r="M27" s="61">
        <f>IF(F27="",0,1)</f>
        <v>1</v>
      </c>
      <c r="N27" s="15"/>
      <c r="O27" s="15"/>
      <c r="P27" s="15"/>
      <c r="Q27" s="15"/>
      <c r="R27" s="15"/>
      <c r="S27" s="15"/>
    </row>
    <row r="28" spans="1:19" s="26" customFormat="1" ht="19.5" thickBot="1" x14ac:dyDescent="0.25">
      <c r="A28" s="15"/>
      <c r="B28" s="42" t="str">
        <f>Residential!D23</f>
        <v>Owner's Policy</v>
      </c>
      <c r="C28" s="60"/>
      <c r="D28" s="43"/>
      <c r="E28" s="44" t="str">
        <f>Residential!E23</f>
        <v>(Standard)</v>
      </c>
      <c r="F28" s="120">
        <f>IF(D15&lt;&gt;"",0,Residential!F23)</f>
        <v>0</v>
      </c>
      <c r="G28" s="121"/>
      <c r="H28" s="50"/>
      <c r="I28" s="56">
        <f>IF(F28=0,0,IF(F28="",0,F28*G$10))</f>
        <v>0</v>
      </c>
      <c r="J28" s="55">
        <f>IF(F28=0,0,IF(F28="",0,IF(G$10=0,0,F28-I28)))</f>
        <v>0</v>
      </c>
      <c r="K28" s="15"/>
      <c r="L28" s="15"/>
      <c r="M28" s="61">
        <f>IF(F28="",0,1)</f>
        <v>1</v>
      </c>
      <c r="N28" s="15"/>
      <c r="O28" s="15"/>
      <c r="P28" s="15"/>
      <c r="Q28" s="15"/>
      <c r="R28" s="15"/>
      <c r="S28" s="15"/>
    </row>
    <row r="29" spans="1:19" s="26" customFormat="1" ht="19.5" thickBot="1" x14ac:dyDescent="0.25">
      <c r="A29" s="15"/>
      <c r="B29" s="45"/>
      <c r="C29" s="46"/>
      <c r="D29" s="46"/>
      <c r="E29" s="47" t="s">
        <v>10</v>
      </c>
      <c r="F29" s="120">
        <f>SUM(F27:F28)</f>
        <v>0</v>
      </c>
      <c r="G29" s="121"/>
      <c r="H29" s="50"/>
      <c r="I29" s="56">
        <f>SUM(I27:I28)</f>
        <v>0</v>
      </c>
      <c r="J29" s="58">
        <f>SUM(J27:J28)</f>
        <v>0</v>
      </c>
      <c r="K29" s="15"/>
      <c r="L29" s="15"/>
      <c r="M29" s="61">
        <f>M27+M28</f>
        <v>2</v>
      </c>
      <c r="N29" s="15"/>
      <c r="O29" s="15"/>
      <c r="P29" s="15"/>
      <c r="Q29" s="15"/>
      <c r="R29" s="15"/>
      <c r="S29" s="15"/>
    </row>
    <row r="30" spans="1:19" s="26" customFormat="1" x14ac:dyDescent="0.2">
      <c r="A30" s="15"/>
      <c r="B30" s="15"/>
      <c r="C30" s="15"/>
      <c r="D30" s="15"/>
      <c r="E30" s="15"/>
      <c r="F30" s="20"/>
      <c r="G30" s="21"/>
      <c r="H30" s="21"/>
      <c r="I30" s="15"/>
      <c r="J30" s="57" t="s">
        <v>63</v>
      </c>
      <c r="K30" s="15"/>
      <c r="L30" s="15"/>
      <c r="M30" s="15"/>
      <c r="N30" s="15"/>
      <c r="O30" s="15"/>
      <c r="P30" s="15"/>
      <c r="Q30" s="15"/>
      <c r="R30" s="15"/>
      <c r="S30" s="15"/>
    </row>
    <row r="31" spans="1:19" s="26" customFormat="1" ht="8.1" customHeight="1" x14ac:dyDescent="0.2">
      <c r="A31" s="15"/>
      <c r="B31" s="15"/>
      <c r="C31" s="15"/>
      <c r="D31" s="15"/>
      <c r="E31" s="17"/>
      <c r="F31" s="16"/>
      <c r="G31" s="18"/>
      <c r="H31" s="18"/>
      <c r="I31" s="15"/>
      <c r="J31" s="40"/>
      <c r="K31" s="15"/>
      <c r="L31" s="15"/>
      <c r="M31" s="15"/>
      <c r="N31" s="15"/>
      <c r="O31" s="15"/>
      <c r="P31" s="15"/>
      <c r="Q31" s="15"/>
      <c r="R31" s="15"/>
      <c r="S31" s="15"/>
    </row>
    <row r="32" spans="1:19" s="26" customFormat="1" ht="15.75" customHeight="1" x14ac:dyDescent="0.2">
      <c r="B32" s="100" t="s">
        <v>48</v>
      </c>
      <c r="C32" s="100"/>
      <c r="D32" s="100"/>
      <c r="E32" s="100"/>
      <c r="F32" s="100"/>
      <c r="G32" s="100"/>
      <c r="H32" s="100"/>
      <c r="I32" s="100"/>
      <c r="J32" s="100"/>
      <c r="K32" s="15"/>
      <c r="L32" s="15"/>
      <c r="M32" s="15"/>
      <c r="N32" s="15"/>
      <c r="O32" s="15"/>
      <c r="P32" s="15"/>
      <c r="Q32" s="15"/>
      <c r="R32" s="15"/>
      <c r="S32" s="15"/>
    </row>
    <row r="33" spans="2:19" s="26" customFormat="1" ht="66" customHeight="1" x14ac:dyDescent="0.2">
      <c r="B33" s="100" t="s">
        <v>66</v>
      </c>
      <c r="C33" s="100"/>
      <c r="D33" s="100"/>
      <c r="E33" s="100"/>
      <c r="F33" s="100"/>
      <c r="G33" s="100"/>
      <c r="H33" s="100"/>
      <c r="I33" s="100"/>
      <c r="J33" s="100"/>
      <c r="K33" s="15"/>
      <c r="L33" s="15"/>
      <c r="M33" s="15"/>
      <c r="N33" s="15"/>
      <c r="O33" s="15"/>
      <c r="P33" s="15"/>
      <c r="Q33" s="15"/>
      <c r="R33" s="15"/>
      <c r="S33" s="15"/>
    </row>
    <row r="34" spans="2:19" s="26" customFormat="1" ht="27.95" customHeight="1" x14ac:dyDescent="0.2">
      <c r="B34" s="100" t="s">
        <v>47</v>
      </c>
      <c r="C34" s="100"/>
      <c r="D34" s="100"/>
      <c r="E34" s="100"/>
      <c r="F34" s="100"/>
      <c r="G34" s="100"/>
      <c r="H34" s="100"/>
      <c r="I34" s="100"/>
      <c r="J34" s="100"/>
      <c r="K34" s="15"/>
      <c r="L34" s="15"/>
      <c r="M34" s="15"/>
      <c r="N34" s="15"/>
      <c r="O34" s="15"/>
      <c r="P34" s="15"/>
      <c r="Q34" s="15"/>
      <c r="R34" s="15"/>
      <c r="S34" s="15"/>
    </row>
  </sheetData>
  <sheetProtection selectLockedCells="1"/>
  <mergeCells count="21">
    <mergeCell ref="B34:J34"/>
    <mergeCell ref="B7:J7"/>
    <mergeCell ref="B8:J8"/>
    <mergeCell ref="B33:J33"/>
    <mergeCell ref="F24:I25"/>
    <mergeCell ref="B5:J5"/>
    <mergeCell ref="B20:G20"/>
    <mergeCell ref="I19:J19"/>
    <mergeCell ref="B19:G19"/>
    <mergeCell ref="B32:J32"/>
    <mergeCell ref="F21:G21"/>
    <mergeCell ref="F22:G22"/>
    <mergeCell ref="F23:G23"/>
    <mergeCell ref="F27:G27"/>
    <mergeCell ref="F28:G28"/>
    <mergeCell ref="F29:G29"/>
    <mergeCell ref="B26:G26"/>
    <mergeCell ref="D15:I15"/>
    <mergeCell ref="G13:I13"/>
    <mergeCell ref="G14:I14"/>
    <mergeCell ref="B6:J6"/>
  </mergeCells>
  <conditionalFormatting sqref="B26:J30">
    <cfRule type="expression" dxfId="1" priority="2">
      <formula>$M$29=0</formula>
    </cfRule>
  </conditionalFormatting>
  <conditionalFormatting sqref="F24:I25">
    <cfRule type="expression" dxfId="0" priority="1">
      <formula>$M$29=0</formula>
    </cfRule>
  </conditionalFormatting>
  <dataValidations count="2">
    <dataValidation type="decimal" allowBlank="1" showInputMessage="1" showErrorMessage="1" error="Either you have entered a negative # or a # over $30M.  If you have entered a negative #, please click &quot;Cancel&quot; and then enter a positive #.  If you have entered a # over $30M, please contact an underwriter for a quote." sqref="G13:I14" xr:uid="{00000000-0002-0000-0100-000000000000}">
      <formula1>0</formula1>
      <formula2>30000000</formula2>
    </dataValidation>
    <dataValidation type="list" showInputMessage="1" showErrorMessage="1" error="Please click &quot;Cancel&quot; and then make selection from drop-down list." sqref="H19" xr:uid="{00000000-0002-0000-0100-000001000000}">
      <formula1>CalculateType</formula1>
    </dataValidation>
  </dataValidations>
  <printOptions horizontalCentered="1"/>
  <pageMargins left="0.45" right="0.45" top="0.7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C35"/>
  <sheetViews>
    <sheetView showGridLines="0" workbookViewId="0">
      <selection activeCell="C17" sqref="C17"/>
    </sheetView>
  </sheetViews>
  <sheetFormatPr defaultRowHeight="12.75" x14ac:dyDescent="0.2"/>
  <cols>
    <col min="1" max="1" width="17.85546875" customWidth="1"/>
    <col min="2" max="2" width="42" customWidth="1"/>
    <col min="3" max="3" width="21.5703125" customWidth="1"/>
  </cols>
  <sheetData>
    <row r="1" spans="2:3" ht="3.95" customHeight="1" thickBot="1" x14ac:dyDescent="0.25"/>
    <row r="2" spans="2:3" ht="15.75" x14ac:dyDescent="0.25">
      <c r="B2" s="136"/>
      <c r="C2" s="137"/>
    </row>
    <row r="3" spans="2:3" x14ac:dyDescent="0.2">
      <c r="B3" s="138"/>
      <c r="C3" s="139"/>
    </row>
    <row r="4" spans="2:3" x14ac:dyDescent="0.2">
      <c r="B4" s="138"/>
      <c r="C4" s="139"/>
    </row>
    <row r="5" spans="2:3" x14ac:dyDescent="0.2">
      <c r="B5" s="140"/>
      <c r="C5" s="141"/>
    </row>
    <row r="6" spans="2:3" x14ac:dyDescent="0.2">
      <c r="B6" s="140"/>
      <c r="C6" s="142"/>
    </row>
    <row r="7" spans="2:3" ht="13.5" thickBot="1" x14ac:dyDescent="0.25">
      <c r="B7" s="143" t="s">
        <v>0</v>
      </c>
      <c r="C7" s="144"/>
    </row>
    <row r="8" spans="2:3" ht="9.9499999999999993" customHeight="1" x14ac:dyDescent="0.2">
      <c r="B8" s="145" t="s">
        <v>1</v>
      </c>
      <c r="C8" s="146"/>
    </row>
    <row r="9" spans="2:3" ht="20.100000000000001" customHeight="1" x14ac:dyDescent="0.2">
      <c r="B9" s="65" t="s">
        <v>2</v>
      </c>
      <c r="C9" s="66">
        <f>Residential!F11</f>
        <v>150000</v>
      </c>
    </row>
    <row r="10" spans="2:3" ht="20.100000000000001" customHeight="1" x14ac:dyDescent="0.2">
      <c r="B10" s="65" t="s">
        <v>3</v>
      </c>
      <c r="C10" s="67">
        <f>Residential!F10</f>
        <v>100000</v>
      </c>
    </row>
    <row r="11" spans="2:3" ht="20.100000000000001" hidden="1" customHeight="1" thickBot="1" x14ac:dyDescent="0.25">
      <c r="B11" s="68" t="s">
        <v>4</v>
      </c>
      <c r="C11" s="69"/>
    </row>
    <row r="12" spans="2:3" ht="3.95" customHeight="1" thickBot="1" x14ac:dyDescent="0.25">
      <c r="B12" s="70"/>
      <c r="C12" s="70"/>
    </row>
    <row r="13" spans="2:3" x14ac:dyDescent="0.2">
      <c r="B13" s="147" t="s">
        <v>5</v>
      </c>
      <c r="C13" s="148"/>
    </row>
    <row r="14" spans="2:3" x14ac:dyDescent="0.2">
      <c r="B14" s="130" t="s">
        <v>6</v>
      </c>
      <c r="C14" s="131"/>
    </row>
    <row r="15" spans="2:3" ht="20.100000000000001" customHeight="1" x14ac:dyDescent="0.2">
      <c r="B15" s="65" t="s">
        <v>7</v>
      </c>
      <c r="C15" s="71">
        <f>IF(C10=0,0,IF(C9=0,0,C29))</f>
        <v>340</v>
      </c>
    </row>
    <row r="16" spans="2:3" ht="20.100000000000001" hidden="1" customHeight="1" x14ac:dyDescent="0.2">
      <c r="B16" s="65" t="s">
        <v>8</v>
      </c>
      <c r="C16" s="72">
        <f>IF(C9=0,0,C26)</f>
        <v>0</v>
      </c>
    </row>
    <row r="17" spans="2:3" ht="20.100000000000001" customHeight="1" x14ac:dyDescent="0.2">
      <c r="B17" s="73" t="s">
        <v>9</v>
      </c>
      <c r="C17" s="72">
        <f>IF(C10=0,0,IF(C9=0,0,IF(C10+C11&gt;C9,Tables!D64,IF(C11=0,C31-C29+Tables!D60,C31-C27+Tables!D60))))</f>
        <v>673</v>
      </c>
    </row>
    <row r="18" spans="2:3" ht="20.100000000000001" customHeight="1" thickBot="1" x14ac:dyDescent="0.25">
      <c r="B18" s="74" t="s">
        <v>10</v>
      </c>
      <c r="C18" s="75">
        <f>SUM(C15:C17)</f>
        <v>1013</v>
      </c>
    </row>
    <row r="19" spans="2:3" x14ac:dyDescent="0.2">
      <c r="B19" s="130" t="s">
        <v>11</v>
      </c>
      <c r="C19" s="131"/>
    </row>
    <row r="20" spans="2:3" ht="20.100000000000001" customHeight="1" x14ac:dyDescent="0.2">
      <c r="B20" s="65" t="s">
        <v>7</v>
      </c>
      <c r="C20" s="71">
        <f>IF(C10=0,0,IF(C9=0,0,C29))</f>
        <v>340</v>
      </c>
    </row>
    <row r="21" spans="2:3" ht="20.100000000000001" hidden="1" customHeight="1" x14ac:dyDescent="0.2">
      <c r="B21" s="76" t="s">
        <v>8</v>
      </c>
      <c r="C21" s="77"/>
    </row>
    <row r="22" spans="2:3" ht="20.100000000000001" customHeight="1" x14ac:dyDescent="0.2">
      <c r="B22" s="73" t="s">
        <v>12</v>
      </c>
      <c r="C22" s="72">
        <f>IF(C10=0,0,IF(C9=0,0,IF(C10+C11&gt;C9,Tables!D56,IF(C11=0,C32-C29+Tables!D44,C32-C27+Tables!D44))))</f>
        <v>537.5</v>
      </c>
    </row>
    <row r="23" spans="2:3" ht="20.100000000000001" customHeight="1" thickBot="1" x14ac:dyDescent="0.25">
      <c r="B23" s="74" t="s">
        <v>10</v>
      </c>
      <c r="C23" s="75">
        <f>SUM(C20:C22)</f>
        <v>877.5</v>
      </c>
    </row>
    <row r="24" spans="2:3" ht="12.75" hidden="1" customHeight="1" x14ac:dyDescent="0.2">
      <c r="B24" s="132" t="s">
        <v>13</v>
      </c>
      <c r="C24" s="133"/>
    </row>
    <row r="25" spans="2:3" ht="20.100000000000001" hidden="1" customHeight="1" x14ac:dyDescent="0.2">
      <c r="B25" s="76" t="s">
        <v>7</v>
      </c>
      <c r="C25" s="78"/>
    </row>
    <row r="26" spans="2:3" ht="20.100000000000001" hidden="1" customHeight="1" x14ac:dyDescent="0.2">
      <c r="B26" s="79" t="s">
        <v>8</v>
      </c>
      <c r="C26" s="78"/>
    </row>
    <row r="27" spans="2:3" ht="20.100000000000001" hidden="1" customHeight="1" thickBot="1" x14ac:dyDescent="0.25">
      <c r="B27" s="74" t="s">
        <v>10</v>
      </c>
      <c r="C27" s="75">
        <f>IF(C10=0,0,IF(C11=0,0,Tables!#REF!+Tables!#REF!))</f>
        <v>0</v>
      </c>
    </row>
    <row r="28" spans="2:3" x14ac:dyDescent="0.2">
      <c r="B28" s="134" t="s">
        <v>14</v>
      </c>
      <c r="C28" s="135"/>
    </row>
    <row r="29" spans="2:3" ht="20.100000000000001" customHeight="1" x14ac:dyDescent="0.2">
      <c r="B29" s="65" t="s">
        <v>15</v>
      </c>
      <c r="C29" s="71">
        <f>Tables!D14</f>
        <v>340</v>
      </c>
    </row>
    <row r="30" spans="2:3" ht="20.100000000000001" hidden="1" customHeight="1" x14ac:dyDescent="0.2">
      <c r="B30" s="76" t="s">
        <v>8</v>
      </c>
      <c r="C30" s="77"/>
    </row>
    <row r="31" spans="2:3" ht="20.100000000000001" customHeight="1" x14ac:dyDescent="0.2">
      <c r="B31" s="65" t="s">
        <v>16</v>
      </c>
      <c r="C31" s="72">
        <f>Tables!D37</f>
        <v>813</v>
      </c>
    </row>
    <row r="32" spans="2:3" ht="20.100000000000001" customHeight="1" thickBot="1" x14ac:dyDescent="0.25">
      <c r="B32" s="68" t="s">
        <v>17</v>
      </c>
      <c r="C32" s="80">
        <f>Tables!D28</f>
        <v>677.5</v>
      </c>
    </row>
    <row r="33" spans="2:3" ht="3.95" customHeight="1" x14ac:dyDescent="0.2">
      <c r="B33" s="70"/>
      <c r="C33" s="70"/>
    </row>
    <row r="34" spans="2:3" x14ac:dyDescent="0.2">
      <c r="B34" s="1"/>
      <c r="C34" s="2"/>
    </row>
    <row r="35" spans="2:3" x14ac:dyDescent="0.2">
      <c r="B35" s="3"/>
    </row>
  </sheetData>
  <sheetProtection sheet="1" objects="1" scenarios="1" selectLockedCells="1"/>
  <mergeCells count="12">
    <mergeCell ref="B19:C19"/>
    <mergeCell ref="B24:C24"/>
    <mergeCell ref="B28:C28"/>
    <mergeCell ref="B2:C2"/>
    <mergeCell ref="B3:C3"/>
    <mergeCell ref="B4:C4"/>
    <mergeCell ref="B5:C5"/>
    <mergeCell ref="B6:C6"/>
    <mergeCell ref="B7:C7"/>
    <mergeCell ref="B8:C8"/>
    <mergeCell ref="B13:C13"/>
    <mergeCell ref="B14:C14"/>
  </mergeCells>
  <printOptions horizontalCentered="1"/>
  <pageMargins left="0.75" right="0.75" top="0.5" bottom="0.5" header="0.5" footer="0.5"/>
  <pageSetup orientation="portrait" r:id="rId1"/>
  <headerFooter alignWithMargins="0"/>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1162050</xdr:colOff>
                <xdr:row>1</xdr:row>
                <xdr:rowOff>19050</xdr:rowOff>
              </from>
              <to>
                <xdr:col>2</xdr:col>
                <xdr:colOff>266700</xdr:colOff>
                <xdr:row>5</xdr:row>
                <xdr:rowOff>123825</xdr:rowOff>
              </to>
            </anchor>
          </objectPr>
        </oleObject>
      </mc:Choice>
      <mc:Fallback>
        <oleObject progId="Word.Picture.8" shapeId="307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H77"/>
  <sheetViews>
    <sheetView topLeftCell="A19" workbookViewId="0">
      <selection activeCell="C24" sqref="C24"/>
    </sheetView>
  </sheetViews>
  <sheetFormatPr defaultRowHeight="12.75" x14ac:dyDescent="0.2"/>
  <cols>
    <col min="1" max="2" width="13.28515625" customWidth="1"/>
    <col min="3" max="3" width="13.140625" customWidth="1"/>
    <col min="4" max="4" width="20.7109375" customWidth="1"/>
    <col min="5" max="5" width="3.28515625" customWidth="1"/>
    <col min="6" max="6" width="5.5703125" style="84" customWidth="1"/>
    <col min="7" max="7" width="5.5703125" customWidth="1"/>
    <col min="8" max="8" width="109.7109375" customWidth="1"/>
  </cols>
  <sheetData>
    <row r="1" spans="1:8" ht="13.5" thickBot="1" x14ac:dyDescent="0.25">
      <c r="A1" s="158" t="s">
        <v>71</v>
      </c>
      <c r="B1" s="159"/>
      <c r="C1" s="159"/>
      <c r="D1" s="160"/>
      <c r="F1" s="98" t="s">
        <v>73</v>
      </c>
    </row>
    <row r="2" spans="1:8" ht="13.5" thickBot="1" x14ac:dyDescent="0.25">
      <c r="A2" s="161" t="s">
        <v>18</v>
      </c>
      <c r="B2" s="161"/>
      <c r="C2" s="161"/>
      <c r="D2" s="161"/>
      <c r="E2" s="84"/>
      <c r="F2" s="84">
        <v>1</v>
      </c>
      <c r="G2" t="s">
        <v>101</v>
      </c>
    </row>
    <row r="3" spans="1:8" ht="13.5" thickBot="1" x14ac:dyDescent="0.25">
      <c r="A3" s="152" t="s">
        <v>19</v>
      </c>
      <c r="B3" s="153"/>
      <c r="C3" s="153"/>
      <c r="D3" s="154"/>
      <c r="F3" s="84">
        <v>2</v>
      </c>
      <c r="G3" s="98" t="s">
        <v>105</v>
      </c>
    </row>
    <row r="4" spans="1:8" ht="13.5" thickBot="1" x14ac:dyDescent="0.25">
      <c r="A4" s="149" t="s">
        <v>7</v>
      </c>
      <c r="B4" s="150"/>
      <c r="C4" s="150"/>
      <c r="D4" s="151"/>
      <c r="G4" s="84" t="s">
        <v>81</v>
      </c>
      <c r="H4" t="s">
        <v>88</v>
      </c>
    </row>
    <row r="5" spans="1:8" x14ac:dyDescent="0.2">
      <c r="B5" s="27" t="s">
        <v>3</v>
      </c>
      <c r="C5" s="82">
        <f>Rates!C10</f>
        <v>100000</v>
      </c>
      <c r="G5" s="84"/>
      <c r="H5" s="99" t="s">
        <v>118</v>
      </c>
    </row>
    <row r="6" spans="1:8" x14ac:dyDescent="0.2">
      <c r="B6" s="27" t="s">
        <v>20</v>
      </c>
      <c r="C6" s="4">
        <f>ROUNDUP(C5,-3)</f>
        <v>100000</v>
      </c>
      <c r="G6" s="84"/>
    </row>
    <row r="7" spans="1:8" x14ac:dyDescent="0.2">
      <c r="A7" s="30" t="s">
        <v>50</v>
      </c>
      <c r="B7" s="92">
        <v>100000</v>
      </c>
      <c r="C7" s="92">
        <v>3.4</v>
      </c>
      <c r="D7" s="5">
        <f>IF(C$6=0,0,IF(C$6&gt;=B7,(B7/1000)*C7,(C$6/1000)*C7))</f>
        <v>340</v>
      </c>
      <c r="G7" s="84" t="s">
        <v>82</v>
      </c>
      <c r="H7" t="s">
        <v>74</v>
      </c>
    </row>
    <row r="8" spans="1:8" x14ac:dyDescent="0.2">
      <c r="A8" s="30" t="s">
        <v>50</v>
      </c>
      <c r="B8" s="92">
        <v>500000</v>
      </c>
      <c r="C8" s="92">
        <v>2.85</v>
      </c>
      <c r="D8" s="5">
        <f>IF(C$6=0,0,IF(C$6&gt;=B8,((B8-B7)/1000)*C8,IF(C$6&gt;B7,((C$6-B7)/1000)*C8,0)))</f>
        <v>0</v>
      </c>
      <c r="G8" s="84"/>
      <c r="H8" s="97" t="s">
        <v>80</v>
      </c>
    </row>
    <row r="9" spans="1:8" x14ac:dyDescent="0.2">
      <c r="A9" s="30" t="s">
        <v>50</v>
      </c>
      <c r="B9" s="92"/>
      <c r="C9" s="93"/>
      <c r="D9" s="5">
        <f>IF(C$6=0,0,IF(C$6&gt;=B9,((B9-B8)/1000)*C9,IF(C$6&gt;B8,((C$6-B8)/1000)*C9,0)))</f>
        <v>0</v>
      </c>
      <c r="G9" s="84"/>
      <c r="H9" s="97" t="s">
        <v>80</v>
      </c>
    </row>
    <row r="10" spans="1:8" x14ac:dyDescent="0.2">
      <c r="A10" s="30" t="s">
        <v>50</v>
      </c>
      <c r="B10" s="92"/>
      <c r="C10" s="93"/>
      <c r="D10" s="5">
        <f>IF(C$6=0,0,IF(C$6&gt;=B10,((B10-B9)/1000)*C10,IF(C$6&gt;B9,((C$6-B9)/1000)*C10,0)))</f>
        <v>0</v>
      </c>
      <c r="G10" s="84"/>
      <c r="H10" s="97" t="s">
        <v>80</v>
      </c>
    </row>
    <row r="11" spans="1:8" x14ac:dyDescent="0.2">
      <c r="A11" s="30" t="s">
        <v>51</v>
      </c>
      <c r="B11" s="92">
        <v>500000</v>
      </c>
      <c r="C11" s="92">
        <v>2.5</v>
      </c>
      <c r="D11" s="5">
        <f>IF(C$6=0,0,IF(C$6&gt;=B11,((C$6-B11)/1000)*C11,0))</f>
        <v>0</v>
      </c>
      <c r="G11" s="84"/>
      <c r="H11" s="97" t="s">
        <v>80</v>
      </c>
    </row>
    <row r="12" spans="1:8" x14ac:dyDescent="0.2">
      <c r="A12" s="6" t="s">
        <v>10</v>
      </c>
      <c r="B12" s="6"/>
      <c r="C12" s="6"/>
      <c r="D12" s="7">
        <f>SUM(D7:D11)</f>
        <v>340</v>
      </c>
      <c r="G12" s="84"/>
    </row>
    <row r="13" spans="1:8" ht="13.5" thickBot="1" x14ac:dyDescent="0.25">
      <c r="A13" s="27"/>
      <c r="B13" s="27" t="s">
        <v>49</v>
      </c>
      <c r="C13" s="94">
        <v>200</v>
      </c>
      <c r="D13" s="90">
        <f>IF(D12&lt;C13,C13,D12)</f>
        <v>340</v>
      </c>
      <c r="G13" s="84" t="s">
        <v>83</v>
      </c>
      <c r="H13" t="s">
        <v>75</v>
      </c>
    </row>
    <row r="14" spans="1:8" ht="13.5" thickBot="1" x14ac:dyDescent="0.25">
      <c r="A14" t="s">
        <v>21</v>
      </c>
      <c r="D14" s="8">
        <f>IF(C$6=0,0,D13)</f>
        <v>340</v>
      </c>
      <c r="G14" s="84"/>
    </row>
    <row r="15" spans="1:8" x14ac:dyDescent="0.2">
      <c r="G15" s="84"/>
    </row>
    <row r="16" spans="1:8" ht="13.5" thickBot="1" x14ac:dyDescent="0.25">
      <c r="G16" s="84"/>
    </row>
    <row r="17" spans="1:8" ht="13.5" thickBot="1" x14ac:dyDescent="0.25">
      <c r="A17" s="149" t="s">
        <v>12</v>
      </c>
      <c r="B17" s="150"/>
      <c r="C17" s="150"/>
      <c r="D17" s="151"/>
      <c r="G17" s="84"/>
    </row>
    <row r="18" spans="1:8" x14ac:dyDescent="0.2">
      <c r="B18" s="27" t="s">
        <v>22</v>
      </c>
      <c r="C18" s="82">
        <f>Rates!C9</f>
        <v>150000</v>
      </c>
      <c r="G18" s="84"/>
    </row>
    <row r="19" spans="1:8" x14ac:dyDescent="0.2">
      <c r="B19" s="27" t="s">
        <v>20</v>
      </c>
      <c r="C19" s="4">
        <f>ROUNDUP(C18,-3)</f>
        <v>150000</v>
      </c>
      <c r="G19" s="84"/>
    </row>
    <row r="20" spans="1:8" x14ac:dyDescent="0.2">
      <c r="A20" s="30" t="s">
        <v>50</v>
      </c>
      <c r="B20" s="92">
        <v>100000</v>
      </c>
      <c r="C20" s="93">
        <v>4.7</v>
      </c>
      <c r="D20" s="5">
        <f>IF(C$19=0,0,IF(C$19&gt;=B20,(B20/1000)*C20,(C$19/1000)*C20))</f>
        <v>470</v>
      </c>
      <c r="G20" s="84" t="s">
        <v>84</v>
      </c>
      <c r="H20" t="s">
        <v>76</v>
      </c>
    </row>
    <row r="21" spans="1:8" x14ac:dyDescent="0.2">
      <c r="A21" s="30" t="s">
        <v>50</v>
      </c>
      <c r="B21" s="92">
        <v>500000</v>
      </c>
      <c r="C21" s="93">
        <v>4.1500000000000004</v>
      </c>
      <c r="D21" s="5">
        <f>IF(C$19=0,0,IF(C$19&gt;=B21,((B21-B20)/1000)*C21,IF(C$19&gt;B20,((C$19-B20)/1000)*C21,0)))</f>
        <v>207.50000000000003</v>
      </c>
      <c r="G21" s="84"/>
      <c r="H21" s="97" t="s">
        <v>80</v>
      </c>
    </row>
    <row r="22" spans="1:8" x14ac:dyDescent="0.2">
      <c r="A22" s="30" t="s">
        <v>50</v>
      </c>
      <c r="B22" s="92"/>
      <c r="C22" s="93"/>
      <c r="D22" s="5">
        <f>IF(C$19=0,0,IF(C$19&gt;=B22,((B22-B21)/1000)*C22,IF(C$19&gt;B21,((C$19-B21)/1000)*C22,0)))</f>
        <v>0</v>
      </c>
      <c r="G22" s="84"/>
      <c r="H22" s="97" t="s">
        <v>80</v>
      </c>
    </row>
    <row r="23" spans="1:8" x14ac:dyDescent="0.2">
      <c r="A23" s="30" t="s">
        <v>50</v>
      </c>
      <c r="B23" s="92"/>
      <c r="C23" s="93"/>
      <c r="D23" s="5">
        <f>IF(C$19=0,0,IF(C$19&gt;=B23,((B23-B22)/1000)*C23,IF(C$19&gt;B22,((C$19-B22)/1000)*C23,0)))</f>
        <v>0</v>
      </c>
      <c r="G23" s="84"/>
      <c r="H23" s="97" t="s">
        <v>80</v>
      </c>
    </row>
    <row r="24" spans="1:8" x14ac:dyDescent="0.2">
      <c r="A24" s="30" t="s">
        <v>51</v>
      </c>
      <c r="B24" s="92">
        <v>500000</v>
      </c>
      <c r="C24" s="93">
        <v>3.4</v>
      </c>
      <c r="D24" s="5">
        <f>IF(C$19=0,0,IF(C$19&gt;=B24,((C$19-B24)/1000)*C24,0))</f>
        <v>0</v>
      </c>
      <c r="G24" s="84"/>
      <c r="H24" s="97" t="s">
        <v>80</v>
      </c>
    </row>
    <row r="25" spans="1:8" x14ac:dyDescent="0.2">
      <c r="D25" s="5"/>
      <c r="G25" s="84"/>
    </row>
    <row r="26" spans="1:8" x14ac:dyDescent="0.2">
      <c r="A26" s="6" t="s">
        <v>10</v>
      </c>
      <c r="B26" s="6"/>
      <c r="C26" s="6"/>
      <c r="D26" s="85">
        <f>SUM(D20:D25)</f>
        <v>677.5</v>
      </c>
      <c r="G26" s="84"/>
    </row>
    <row r="27" spans="1:8" ht="13.5" thickBot="1" x14ac:dyDescent="0.25">
      <c r="B27" s="27" t="s">
        <v>49</v>
      </c>
      <c r="C27" s="93">
        <v>200</v>
      </c>
      <c r="D27" s="90">
        <f>IF(D26&lt;C27,C27,D26)</f>
        <v>677.5</v>
      </c>
      <c r="G27" s="84" t="s">
        <v>85</v>
      </c>
      <c r="H27" t="s">
        <v>77</v>
      </c>
    </row>
    <row r="28" spans="1:8" ht="13.5" thickBot="1" x14ac:dyDescent="0.25">
      <c r="A28" t="s">
        <v>23</v>
      </c>
      <c r="D28" s="91">
        <f>IF(C$19=0,0,D27)</f>
        <v>677.5</v>
      </c>
      <c r="G28" s="84"/>
    </row>
    <row r="29" spans="1:8" x14ac:dyDescent="0.2">
      <c r="G29" s="84"/>
    </row>
    <row r="30" spans="1:8" ht="13.5" thickBot="1" x14ac:dyDescent="0.25">
      <c r="G30" s="84"/>
    </row>
    <row r="31" spans="1:8" ht="13.5" thickBot="1" x14ac:dyDescent="0.25">
      <c r="A31" s="149" t="s">
        <v>9</v>
      </c>
      <c r="B31" s="150"/>
      <c r="C31" s="150"/>
      <c r="D31" s="151"/>
      <c r="G31" s="84"/>
    </row>
    <row r="32" spans="1:8" x14ac:dyDescent="0.2">
      <c r="B32" s="27" t="s">
        <v>22</v>
      </c>
      <c r="C32" s="82">
        <f>Rates!C9</f>
        <v>150000</v>
      </c>
      <c r="G32" s="84"/>
    </row>
    <row r="33" spans="1:8" x14ac:dyDescent="0.2">
      <c r="B33" s="27" t="s">
        <v>20</v>
      </c>
      <c r="C33" s="4">
        <f>ROUNDUP(C32,-3)</f>
        <v>150000</v>
      </c>
      <c r="G33" s="84"/>
    </row>
    <row r="34" spans="1:8" x14ac:dyDescent="0.2">
      <c r="A34" t="s">
        <v>24</v>
      </c>
      <c r="D34" s="89">
        <f>D26</f>
        <v>677.5</v>
      </c>
      <c r="G34" s="84"/>
    </row>
    <row r="35" spans="1:8" x14ac:dyDescent="0.2">
      <c r="A35" s="6"/>
      <c r="B35" s="27" t="s">
        <v>52</v>
      </c>
      <c r="C35" s="95">
        <v>1.2</v>
      </c>
      <c r="D35" s="85">
        <f>D34*C35</f>
        <v>813</v>
      </c>
      <c r="G35" s="84" t="s">
        <v>86</v>
      </c>
      <c r="H35" t="s">
        <v>78</v>
      </c>
    </row>
    <row r="36" spans="1:8" ht="13.5" thickBot="1" x14ac:dyDescent="0.25">
      <c r="B36" s="27" t="s">
        <v>49</v>
      </c>
      <c r="C36" s="28">
        <f>C27*C35</f>
        <v>240</v>
      </c>
      <c r="D36" s="90">
        <f>IF(D35&lt;C36,C36,D35)</f>
        <v>813</v>
      </c>
      <c r="G36" s="84"/>
    </row>
    <row r="37" spans="1:8" ht="13.5" thickBot="1" x14ac:dyDescent="0.25">
      <c r="A37" t="s">
        <v>25</v>
      </c>
      <c r="D37" s="91">
        <f>IF(C33=0,0,D36)</f>
        <v>813</v>
      </c>
      <c r="G37" s="84"/>
    </row>
    <row r="38" spans="1:8" x14ac:dyDescent="0.2">
      <c r="A38" s="6"/>
      <c r="B38" s="6"/>
      <c r="C38" s="6"/>
      <c r="D38" s="10"/>
      <c r="G38" s="84"/>
    </row>
    <row r="39" spans="1:8" ht="13.5" thickBot="1" x14ac:dyDescent="0.25">
      <c r="A39" s="6"/>
      <c r="B39" s="6"/>
      <c r="C39" s="6"/>
      <c r="D39" s="10"/>
      <c r="G39" s="84"/>
    </row>
    <row r="40" spans="1:8" ht="13.5" thickBot="1" x14ac:dyDescent="0.25">
      <c r="A40" s="155" t="s">
        <v>72</v>
      </c>
      <c r="B40" s="156"/>
      <c r="C40" s="157"/>
      <c r="D40" s="96">
        <v>200</v>
      </c>
      <c r="G40" s="84" t="s">
        <v>87</v>
      </c>
      <c r="H40" t="s">
        <v>79</v>
      </c>
    </row>
    <row r="41" spans="1:8" ht="13.5" thickBot="1" x14ac:dyDescent="0.25"/>
    <row r="42" spans="1:8" ht="13.5" thickBot="1" x14ac:dyDescent="0.25">
      <c r="A42" s="152" t="s">
        <v>27</v>
      </c>
      <c r="B42" s="153"/>
      <c r="C42" s="153"/>
      <c r="D42" s="154"/>
      <c r="E42" s="84"/>
      <c r="F42" s="84">
        <v>3</v>
      </c>
      <c r="G42" s="98" t="s">
        <v>102</v>
      </c>
      <c r="H42" s="98"/>
    </row>
    <row r="43" spans="1:8" ht="13.5" thickBot="1" x14ac:dyDescent="0.25">
      <c r="A43" s="149" t="s">
        <v>28</v>
      </c>
      <c r="B43" s="150"/>
      <c r="C43" s="150"/>
      <c r="D43" s="151"/>
      <c r="G43" s="98"/>
      <c r="H43" s="98"/>
    </row>
    <row r="44" spans="1:8" hidden="1" x14ac:dyDescent="0.2">
      <c r="A44" t="s">
        <v>26</v>
      </c>
      <c r="D44" s="11">
        <f>D40</f>
        <v>200</v>
      </c>
      <c r="G44" s="98"/>
      <c r="H44" s="98"/>
    </row>
    <row r="45" spans="1:8" x14ac:dyDescent="0.2">
      <c r="B45" t="s">
        <v>22</v>
      </c>
      <c r="C45" s="83">
        <f>IF(C18=0,0,C18)</f>
        <v>150000</v>
      </c>
      <c r="F45" s="84">
        <v>4</v>
      </c>
      <c r="G45" s="98" t="s">
        <v>104</v>
      </c>
      <c r="H45" s="98"/>
    </row>
    <row r="46" spans="1:8" x14ac:dyDescent="0.2">
      <c r="B46" t="s">
        <v>20</v>
      </c>
      <c r="C46" s="4">
        <f>ROUNDUP(C45,-3)</f>
        <v>150000</v>
      </c>
      <c r="G46" s="84" t="s">
        <v>89</v>
      </c>
      <c r="H46" s="98" t="s">
        <v>103</v>
      </c>
    </row>
    <row r="47" spans="1:8" x14ac:dyDescent="0.2">
      <c r="A47" s="30" t="s">
        <v>50</v>
      </c>
      <c r="B47" s="29">
        <f t="shared" ref="B47:C51" si="0">B7</f>
        <v>100000</v>
      </c>
      <c r="C47" s="28">
        <f t="shared" si="0"/>
        <v>3.4</v>
      </c>
      <c r="D47" s="5">
        <f>IF(C$46=0,0,IF(C$46&gt;=B47,(B47/1000)*C47,(C$46/1000)*C47))</f>
        <v>340</v>
      </c>
      <c r="G47" s="84" t="s">
        <v>90</v>
      </c>
      <c r="H47" t="s">
        <v>91</v>
      </c>
    </row>
    <row r="48" spans="1:8" x14ac:dyDescent="0.2">
      <c r="A48" s="30" t="s">
        <v>50</v>
      </c>
      <c r="B48" s="29">
        <f t="shared" si="0"/>
        <v>500000</v>
      </c>
      <c r="C48" s="28">
        <f t="shared" si="0"/>
        <v>2.85</v>
      </c>
      <c r="D48" s="5">
        <f>IF(C$46=0,0,IF(C$46&gt;=B48,((B48-B47)/1000)*C48,IF(C$46&gt;B47,((C$46-B47)/1000)*C48,0)))</f>
        <v>142.5</v>
      </c>
    </row>
    <row r="49" spans="1:8" x14ac:dyDescent="0.2">
      <c r="A49" s="30" t="s">
        <v>50</v>
      </c>
      <c r="B49" s="29">
        <f t="shared" si="0"/>
        <v>0</v>
      </c>
      <c r="C49" s="28">
        <f t="shared" si="0"/>
        <v>0</v>
      </c>
      <c r="D49" s="5">
        <f>IF(C$46=0,0,IF(C$46&gt;=B49,((B49-B48)/1000)*C49,IF(C$46&gt;B48,((C$46-B48)/1000)*C49,0)))</f>
        <v>0</v>
      </c>
    </row>
    <row r="50" spans="1:8" x14ac:dyDescent="0.2">
      <c r="A50" s="30" t="s">
        <v>50</v>
      </c>
      <c r="B50" s="29">
        <f t="shared" si="0"/>
        <v>0</v>
      </c>
      <c r="C50" s="28">
        <f t="shared" si="0"/>
        <v>0</v>
      </c>
      <c r="D50" s="5">
        <f>IF(C$46=0,0,IF(C$46&gt;=B50,((B50-B49)/1000)*C50,IF(C$46&gt;B49,((C$46-B49)/1000)*C50,0)))</f>
        <v>0</v>
      </c>
    </row>
    <row r="51" spans="1:8" x14ac:dyDescent="0.2">
      <c r="A51" s="30" t="s">
        <v>51</v>
      </c>
      <c r="B51" s="29">
        <f t="shared" si="0"/>
        <v>500000</v>
      </c>
      <c r="C51" s="28">
        <f t="shared" si="0"/>
        <v>2.5</v>
      </c>
      <c r="D51" s="5">
        <f>IF(C$46=0,0,IF(C$46&gt;=B51,((C$46-B51)/1000)*C51,0))</f>
        <v>0</v>
      </c>
    </row>
    <row r="52" spans="1:8" x14ac:dyDescent="0.2">
      <c r="A52" s="6" t="s">
        <v>29</v>
      </c>
      <c r="B52" s="6"/>
      <c r="C52" s="6"/>
      <c r="D52" s="9">
        <f>SUM(D47:D51)</f>
        <v>482.5</v>
      </c>
    </row>
    <row r="53" spans="1:8" x14ac:dyDescent="0.2">
      <c r="B53" s="27" t="s">
        <v>49</v>
      </c>
      <c r="C53" s="31">
        <f>C13</f>
        <v>200</v>
      </c>
      <c r="D53" s="32">
        <f>IF(D52&lt;C53,C53,D52)</f>
        <v>482.5</v>
      </c>
      <c r="F53" s="84">
        <v>5</v>
      </c>
      <c r="G53" t="s">
        <v>117</v>
      </c>
      <c r="H53" s="98"/>
    </row>
    <row r="54" spans="1:8" x14ac:dyDescent="0.2">
      <c r="A54" s="6" t="s">
        <v>23</v>
      </c>
      <c r="B54" s="6"/>
      <c r="D54" s="12">
        <f>IF(C$46&lt;=0,0,D28)</f>
        <v>677.5</v>
      </c>
      <c r="G54" s="84" t="s">
        <v>92</v>
      </c>
      <c r="H54" s="98" t="s">
        <v>96</v>
      </c>
    </row>
    <row r="55" spans="1:8" ht="13.5" thickBot="1" x14ac:dyDescent="0.25">
      <c r="A55" t="s">
        <v>30</v>
      </c>
      <c r="D55" s="13">
        <f>IF(C$46&lt;=0,0,D14)</f>
        <v>340</v>
      </c>
      <c r="G55" s="84" t="s">
        <v>93</v>
      </c>
      <c r="H55" s="98" t="s">
        <v>97</v>
      </c>
    </row>
    <row r="56" spans="1:8" ht="13.5" thickBot="1" x14ac:dyDescent="0.25">
      <c r="A56" s="6" t="s">
        <v>31</v>
      </c>
      <c r="B56" s="6"/>
      <c r="D56" s="14">
        <f>IF(C46=0,0,IF(C6&lt;C19,0,D54-D53+D44))</f>
        <v>0</v>
      </c>
      <c r="G56" s="84" t="s">
        <v>94</v>
      </c>
      <c r="H56" s="98" t="s">
        <v>98</v>
      </c>
    </row>
    <row r="57" spans="1:8" x14ac:dyDescent="0.2">
      <c r="G57" s="84" t="s">
        <v>95</v>
      </c>
      <c r="H57" s="98" t="s">
        <v>99</v>
      </c>
    </row>
    <row r="58" spans="1:8" ht="13.5" thickBot="1" x14ac:dyDescent="0.25"/>
    <row r="59" spans="1:8" ht="13.5" thickBot="1" x14ac:dyDescent="0.25">
      <c r="A59" s="149" t="s">
        <v>32</v>
      </c>
      <c r="B59" s="150"/>
      <c r="C59" s="150"/>
      <c r="D59" s="151"/>
    </row>
    <row r="60" spans="1:8" hidden="1" x14ac:dyDescent="0.2">
      <c r="A60" t="s">
        <v>26</v>
      </c>
      <c r="D60" s="11">
        <f>D44</f>
        <v>200</v>
      </c>
      <c r="G60" s="84" t="s">
        <v>95</v>
      </c>
      <c r="H60" s="98"/>
    </row>
    <row r="61" spans="1:8" x14ac:dyDescent="0.2">
      <c r="A61" s="6" t="s">
        <v>29</v>
      </c>
      <c r="B61" s="6"/>
      <c r="C61" s="6"/>
      <c r="D61" s="85">
        <f>D53</f>
        <v>482.5</v>
      </c>
    </row>
    <row r="62" spans="1:8" x14ac:dyDescent="0.2">
      <c r="A62" s="6" t="s">
        <v>25</v>
      </c>
      <c r="B62" s="6"/>
      <c r="D62" s="86">
        <f>D37</f>
        <v>813</v>
      </c>
    </row>
    <row r="63" spans="1:8" ht="13.5" thickBot="1" x14ac:dyDescent="0.25">
      <c r="A63" t="s">
        <v>30</v>
      </c>
      <c r="D63" s="87">
        <f>IF(C46&lt;=0,0,D14)</f>
        <v>340</v>
      </c>
    </row>
    <row r="64" spans="1:8" ht="13.5" thickBot="1" x14ac:dyDescent="0.25">
      <c r="A64" s="6" t="s">
        <v>33</v>
      </c>
      <c r="B64" s="6"/>
      <c r="D64" s="88">
        <f>IF(C46=0,0,IF(C6&lt;C19,0,D62-D61+D44))</f>
        <v>0</v>
      </c>
    </row>
    <row r="67" spans="6:8" x14ac:dyDescent="0.2">
      <c r="F67" s="84">
        <v>6</v>
      </c>
      <c r="G67" s="98" t="s">
        <v>106</v>
      </c>
    </row>
    <row r="69" spans="6:8" x14ac:dyDescent="0.2">
      <c r="F69" s="84">
        <v>7</v>
      </c>
      <c r="G69" t="s">
        <v>100</v>
      </c>
    </row>
    <row r="71" spans="6:8" x14ac:dyDescent="0.2">
      <c r="F71" s="84">
        <v>8</v>
      </c>
      <c r="G71" t="s">
        <v>114</v>
      </c>
    </row>
    <row r="73" spans="6:8" x14ac:dyDescent="0.2">
      <c r="F73" s="84">
        <v>9</v>
      </c>
      <c r="G73" t="s">
        <v>107</v>
      </c>
    </row>
    <row r="74" spans="6:8" x14ac:dyDescent="0.2">
      <c r="G74" s="84" t="s">
        <v>109</v>
      </c>
      <c r="H74" t="s">
        <v>108</v>
      </c>
    </row>
    <row r="75" spans="6:8" x14ac:dyDescent="0.2">
      <c r="G75" s="84" t="s">
        <v>110</v>
      </c>
      <c r="H75" t="s">
        <v>113</v>
      </c>
    </row>
    <row r="76" spans="6:8" x14ac:dyDescent="0.2">
      <c r="G76" s="84" t="s">
        <v>112</v>
      </c>
      <c r="H76" t="s">
        <v>111</v>
      </c>
    </row>
    <row r="77" spans="6:8" x14ac:dyDescent="0.2">
      <c r="G77" s="84" t="s">
        <v>115</v>
      </c>
      <c r="H77" t="s">
        <v>116</v>
      </c>
    </row>
  </sheetData>
  <sheetProtection sheet="1" objects="1" scenarios="1" selectLockedCells="1"/>
  <mergeCells count="10">
    <mergeCell ref="A17:D17"/>
    <mergeCell ref="A1:D1"/>
    <mergeCell ref="A2:D2"/>
    <mergeCell ref="A3:D3"/>
    <mergeCell ref="A4:D4"/>
    <mergeCell ref="A31:D31"/>
    <mergeCell ref="A42:D42"/>
    <mergeCell ref="A43:D43"/>
    <mergeCell ref="A59:D59"/>
    <mergeCell ref="A40:C40"/>
  </mergeCells>
  <printOptions horizontalCentered="1"/>
  <pageMargins left="0.5" right="0.5" top="0.75" bottom="1" header="0.5" footer="0.5"/>
  <pageSetup orientation="landscape" r:id="rId1"/>
  <headerFooter alignWithMargins="0"/>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Residential</vt:lpstr>
      <vt:lpstr>Remittance</vt:lpstr>
      <vt:lpstr>Rates</vt:lpstr>
      <vt:lpstr>Tables</vt:lpstr>
      <vt:lpstr>CalculateType</vt:lpstr>
      <vt:lpstr>OTPType</vt:lpstr>
      <vt:lpstr>Rates!Print_Area</vt:lpstr>
      <vt:lpstr>Remittance!Print_Area</vt:lpstr>
      <vt:lpstr>Residential!Print_Area</vt:lpstr>
    </vt:vector>
  </TitlesOfParts>
  <Company>STG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Rhee McCallum</dc:creator>
  <cp:lastModifiedBy>Willa Wilson</cp:lastModifiedBy>
  <cp:lastPrinted>2016-09-21T03:50:26Z</cp:lastPrinted>
  <dcterms:created xsi:type="dcterms:W3CDTF">2012-08-03T19:22:13Z</dcterms:created>
  <dcterms:modified xsi:type="dcterms:W3CDTF">2022-09-20T21:45:45Z</dcterms:modified>
</cp:coreProperties>
</file>