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laW\Desktop\"/>
    </mc:Choice>
  </mc:AlternateContent>
  <xr:revisionPtr revIDLastSave="0" documentId="13_ncr:1_{D9151F86-04DC-4A9D-BC01-64B749D1636C}" xr6:coauthVersionLast="47" xr6:coauthVersionMax="47" xr10:uidLastSave="{00000000-0000-0000-0000-000000000000}"/>
  <workbookProtection workbookAlgorithmName="SHA-512" workbookHashValue="PVBBNvwZL+4Rmv1fY8O8i8jV5KgfGiCo4+QjNxu/PgK/6h082dEia5QQJ98DqMuURRifmu/M4rWlxVhn8NYKeA==" workbookSaltValue="4B1EkrnQN6829T1Ux5/Nwg==" workbookSpinCount="100000" lockStructure="1"/>
  <bookViews>
    <workbookView xWindow="21270" yWindow="780" windowWidth="21600" windowHeight="11385" xr2:uid="{00000000-000D-0000-FFFF-FFFF00000000}"/>
  </bookViews>
  <sheets>
    <sheet name="Residential" sheetId="9" r:id="rId1"/>
    <sheet name="Commercial" sheetId="10" r:id="rId2"/>
    <sheet name="R-Rates" sheetId="3" state="hidden" r:id="rId3"/>
    <sheet name="R-Tables" sheetId="4" state="hidden" r:id="rId4"/>
    <sheet name="R-Tables Enhanced LTP" sheetId="13" state="hidden" r:id="rId5"/>
    <sheet name="C-Tables" sheetId="12" state="hidden" r:id="rId6"/>
  </sheets>
  <definedNames>
    <definedName name="_xlnm._FilterDatabase" localSheetId="5" hidden="1">'C-Tables'!#REF!</definedName>
    <definedName name="_xlnm._FilterDatabase" localSheetId="3" hidden="1">'R-Tables'!#REF!</definedName>
    <definedName name="_xlnm._FilterDatabase" localSheetId="4" hidden="1">'R-Tables Enhanced LTP'!#REF!</definedName>
    <definedName name="CTransactions">'C-Tables'!$I$2:$I$4</definedName>
    <definedName name="Owners" localSheetId="4">'R-Tables Enhanced LTP'!#REF!</definedName>
    <definedName name="Owners">'R-Tables'!$H$8:$H$10</definedName>
    <definedName name="PolicyType" localSheetId="4">'R-Tables Enhanced LTP'!#REF!</definedName>
    <definedName name="PolicyType">'R-Tables'!$H$13:$H$15</definedName>
    <definedName name="_xlnm.Print_Area" localSheetId="1">Commercial!$A$1:$G$26</definedName>
    <definedName name="_xlnm.Print_Area" localSheetId="0">Residential!$A$1:$G$26</definedName>
    <definedName name="_xlnm.Print_Area" localSheetId="2">'R-Rates'!$B$1:$C$30</definedName>
    <definedName name="Remit">'R-Tables'!$H$19:$H$20</definedName>
    <definedName name="Transactions" localSheetId="4">'R-Tables Enhanced LTP'!#REF!</definedName>
    <definedName name="Transactions">'R-Tables'!$H$2:$H$5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0" l="1"/>
  <c r="E29" i="10"/>
  <c r="E29" i="9"/>
  <c r="C39" i="13"/>
  <c r="C37" i="13"/>
  <c r="C36" i="13"/>
  <c r="C35" i="13"/>
  <c r="C34" i="13"/>
  <c r="C33" i="13"/>
  <c r="B37" i="13"/>
  <c r="B36" i="13"/>
  <c r="B35" i="13"/>
  <c r="B34" i="13"/>
  <c r="B33" i="13"/>
  <c r="C26" i="13"/>
  <c r="C24" i="13"/>
  <c r="B24" i="13"/>
  <c r="C23" i="13"/>
  <c r="B23" i="13"/>
  <c r="C22" i="13"/>
  <c r="B22" i="13"/>
  <c r="C21" i="13"/>
  <c r="B21" i="13"/>
  <c r="C20" i="13"/>
  <c r="B20" i="13"/>
  <c r="C72" i="13"/>
  <c r="C70" i="13"/>
  <c r="B70" i="13"/>
  <c r="C69" i="13"/>
  <c r="B69" i="13"/>
  <c r="C68" i="13"/>
  <c r="B68" i="13"/>
  <c r="C67" i="13"/>
  <c r="B67" i="13"/>
  <c r="C66" i="13"/>
  <c r="B66" i="13"/>
  <c r="C56" i="13"/>
  <c r="C54" i="13"/>
  <c r="B54" i="13"/>
  <c r="C53" i="13"/>
  <c r="B53" i="13"/>
  <c r="C52" i="13"/>
  <c r="B52" i="13"/>
  <c r="C51" i="13"/>
  <c r="B51" i="13"/>
  <c r="C50" i="13"/>
  <c r="B50" i="13"/>
  <c r="D47" i="13"/>
  <c r="D63" i="13" s="1"/>
  <c r="C13" i="9"/>
  <c r="E8" i="10"/>
  <c r="A6" i="9"/>
  <c r="F27" i="10" l="1"/>
  <c r="E5" i="12"/>
  <c r="E6" i="12" s="1"/>
  <c r="D5" i="12"/>
  <c r="D6" i="12" s="1"/>
  <c r="E17" i="12"/>
  <c r="B17" i="12"/>
  <c r="D17" i="12"/>
  <c r="C72" i="4"/>
  <c r="C70" i="4"/>
  <c r="B70" i="4"/>
  <c r="C69" i="4"/>
  <c r="B69" i="4"/>
  <c r="C68" i="4"/>
  <c r="B68" i="4"/>
  <c r="C67" i="4"/>
  <c r="B67" i="4"/>
  <c r="C66" i="4"/>
  <c r="B66" i="4"/>
  <c r="C2" i="3"/>
  <c r="E8" i="9"/>
  <c r="F13" i="9" s="1"/>
  <c r="C21" i="9" s="1"/>
  <c r="D47" i="4"/>
  <c r="D63" i="4" s="1"/>
  <c r="C56" i="4"/>
  <c r="C54" i="4"/>
  <c r="C53" i="4"/>
  <c r="C52" i="4"/>
  <c r="C51" i="4"/>
  <c r="C50" i="4"/>
  <c r="B54" i="4"/>
  <c r="B53" i="4"/>
  <c r="B52" i="4"/>
  <c r="B51" i="4"/>
  <c r="B50" i="4"/>
  <c r="C1" i="3"/>
  <c r="C16" i="9" l="1"/>
  <c r="E13" i="9"/>
  <c r="C15" i="9" s="1"/>
  <c r="C5" i="13"/>
  <c r="C6" i="13" s="1"/>
  <c r="D8" i="13" s="1"/>
  <c r="C31" i="13"/>
  <c r="C32" i="13" s="1"/>
  <c r="C18" i="13"/>
  <c r="C22" i="3"/>
  <c r="B10" i="10"/>
  <c r="B15" i="10"/>
  <c r="E14" i="10"/>
  <c r="C5" i="4"/>
  <c r="C6" i="4" s="1"/>
  <c r="D16" i="12"/>
  <c r="D12" i="12"/>
  <c r="D7" i="12"/>
  <c r="D15" i="12"/>
  <c r="D9" i="12"/>
  <c r="D8" i="12"/>
  <c r="D11" i="12"/>
  <c r="D10" i="12"/>
  <c r="D13" i="12"/>
  <c r="D14" i="12"/>
  <c r="E13" i="12"/>
  <c r="E16" i="12"/>
  <c r="E7" i="12"/>
  <c r="E14" i="12"/>
  <c r="E8" i="12"/>
  <c r="E15" i="12"/>
  <c r="E9" i="12"/>
  <c r="E10" i="12"/>
  <c r="E11" i="12"/>
  <c r="E12" i="12"/>
  <c r="C31" i="4"/>
  <c r="C32" i="4" s="1"/>
  <c r="C18" i="4"/>
  <c r="E14" i="9" l="1"/>
  <c r="C20" i="9"/>
  <c r="G14" i="9"/>
  <c r="D9" i="13"/>
  <c r="D7" i="13"/>
  <c r="D10" i="13"/>
  <c r="D11" i="13"/>
  <c r="C48" i="13"/>
  <c r="C49" i="13" s="1"/>
  <c r="C64" i="13"/>
  <c r="C65" i="13" s="1"/>
  <c r="C19" i="13"/>
  <c r="D7" i="4"/>
  <c r="E18" i="12"/>
  <c r="E19" i="12" s="1"/>
  <c r="E20" i="12" s="1"/>
  <c r="D18" i="12"/>
  <c r="D19" i="12" s="1"/>
  <c r="D20" i="12" s="1"/>
  <c r="D25" i="12" s="1"/>
  <c r="D8" i="4"/>
  <c r="D11" i="4"/>
  <c r="D10" i="4"/>
  <c r="D9" i="4"/>
  <c r="C19" i="4"/>
  <c r="C48" i="4"/>
  <c r="C49" i="4" s="1"/>
  <c r="C64" i="4"/>
  <c r="C65" i="4" s="1"/>
  <c r="G15" i="9" l="1"/>
  <c r="E15" i="9"/>
  <c r="G16" i="9"/>
  <c r="D12" i="13"/>
  <c r="D13" i="13" s="1"/>
  <c r="D14" i="13" s="1"/>
  <c r="C26" i="3" s="1"/>
  <c r="C13" i="3" s="1"/>
  <c r="D34" i="13"/>
  <c r="D20" i="13"/>
  <c r="D22" i="13"/>
  <c r="D24" i="13"/>
  <c r="D37" i="13"/>
  <c r="D23" i="13"/>
  <c r="D21" i="13"/>
  <c r="D35" i="13"/>
  <c r="D36" i="13"/>
  <c r="D33" i="13"/>
  <c r="D67" i="13"/>
  <c r="D68" i="13"/>
  <c r="D70" i="13"/>
  <c r="D66" i="13"/>
  <c r="D69" i="13"/>
  <c r="D54" i="13"/>
  <c r="D53" i="13"/>
  <c r="D52" i="13"/>
  <c r="D50" i="13"/>
  <c r="D51" i="13"/>
  <c r="E25" i="12"/>
  <c r="E26" i="12"/>
  <c r="D16" i="10" s="1"/>
  <c r="F16" i="10" s="1"/>
  <c r="D26" i="12"/>
  <c r="D15" i="10" s="1"/>
  <c r="F15" i="10" s="1"/>
  <c r="D12" i="4"/>
  <c r="D13" i="4" s="1"/>
  <c r="D14" i="4" s="1"/>
  <c r="C24" i="3" s="1"/>
  <c r="D33" i="4"/>
  <c r="D22" i="4"/>
  <c r="D24" i="4"/>
  <c r="D21" i="4"/>
  <c r="D37" i="4"/>
  <c r="D36" i="4"/>
  <c r="D34" i="4"/>
  <c r="D35" i="4"/>
  <c r="D23" i="4"/>
  <c r="D20" i="4"/>
  <c r="D70" i="4"/>
  <c r="D67" i="4"/>
  <c r="D66" i="4"/>
  <c r="D69" i="4"/>
  <c r="D68" i="4"/>
  <c r="D51" i="4"/>
  <c r="D53" i="4"/>
  <c r="D50" i="4"/>
  <c r="D54" i="4"/>
  <c r="D52" i="4"/>
  <c r="F27" i="9" l="1"/>
  <c r="D74" i="13"/>
  <c r="C12" i="3"/>
  <c r="D21" i="9" s="1"/>
  <c r="F21" i="9" s="1"/>
  <c r="D58" i="13"/>
  <c r="D55" i="13"/>
  <c r="D71" i="13"/>
  <c r="F76" i="13" s="1"/>
  <c r="D38" i="13"/>
  <c r="D39" i="13" s="1"/>
  <c r="D40" i="13" s="1"/>
  <c r="D73" i="13" s="1"/>
  <c r="D25" i="13"/>
  <c r="D26" i="13" s="1"/>
  <c r="D27" i="13" s="1"/>
  <c r="D57" i="13" s="1"/>
  <c r="D17" i="10"/>
  <c r="F17" i="10" s="1"/>
  <c r="D74" i="4"/>
  <c r="D58" i="4"/>
  <c r="D38" i="4"/>
  <c r="D39" i="4" s="1"/>
  <c r="D40" i="4" s="1"/>
  <c r="D55" i="4"/>
  <c r="F60" i="4" s="1"/>
  <c r="D25" i="4"/>
  <c r="D26" i="4" s="1"/>
  <c r="D27" i="4" s="1"/>
  <c r="D71" i="4"/>
  <c r="F76" i="4" s="1"/>
  <c r="F57" i="13" l="1"/>
  <c r="F73" i="13"/>
  <c r="F74" i="13"/>
  <c r="D56" i="13"/>
  <c r="F60" i="13"/>
  <c r="F58" i="13" s="1"/>
  <c r="D72" i="13"/>
  <c r="C28" i="3"/>
  <c r="D73" i="4"/>
  <c r="F73" i="4" s="1"/>
  <c r="C27" i="3"/>
  <c r="D57" i="4"/>
  <c r="D72" i="4"/>
  <c r="D56" i="4"/>
  <c r="F59" i="13" l="1"/>
  <c r="D60" i="13" s="1"/>
  <c r="D59" i="13" s="1"/>
  <c r="C16" i="3" s="1"/>
  <c r="F75" i="13"/>
  <c r="F74" i="4"/>
  <c r="F75" i="4" s="1"/>
  <c r="F58" i="4"/>
  <c r="F57" i="4"/>
  <c r="C7" i="3"/>
  <c r="C9" i="3"/>
  <c r="C8" i="3"/>
  <c r="D76" i="13" l="1"/>
  <c r="D75" i="13" s="1"/>
  <c r="C17" i="3" s="1"/>
  <c r="D15" i="9"/>
  <c r="F15" i="9" s="1"/>
  <c r="F59" i="4" l="1"/>
  <c r="D60" i="4" l="1"/>
  <c r="C6" i="3" s="1"/>
  <c r="D16" i="9" s="1"/>
  <c r="D17" i="9" s="1"/>
  <c r="D76" i="4"/>
  <c r="D75" i="4" s="1"/>
  <c r="C15" i="3" s="1"/>
  <c r="F16" i="9" l="1"/>
  <c r="F17" i="9" s="1"/>
  <c r="D59" i="4"/>
  <c r="C14" i="3" s="1"/>
  <c r="D20" i="9" s="1"/>
  <c r="D22" i="9" l="1"/>
  <c r="D24" i="9"/>
  <c r="F20" i="9"/>
  <c r="F22" i="9" s="1"/>
</calcChain>
</file>

<file path=xl/sharedStrings.xml><?xml version="1.0" encoding="utf-8"?>
<sst xmlns="http://schemas.openxmlformats.org/spreadsheetml/2006/main" count="280" uniqueCount="117">
  <si>
    <t>Sales Price</t>
  </si>
  <si>
    <t>Loan Amount</t>
  </si>
  <si>
    <t>Loan Policy</t>
  </si>
  <si>
    <t>2nd Loan Policy</t>
  </si>
  <si>
    <t>Enhanced Owner's Policy</t>
  </si>
  <si>
    <t>Total</t>
  </si>
  <si>
    <t>Loan policies issued at same closing to same insured</t>
  </si>
  <si>
    <t>Only 1 policy issued at closing</t>
  </si>
  <si>
    <t>Enhanced Owner's Policy Only</t>
  </si>
  <si>
    <t>RESIDENTIAL</t>
  </si>
  <si>
    <t>Single Policy</t>
  </si>
  <si>
    <t>Rounded</t>
  </si>
  <si>
    <t>LTP Premium</t>
  </si>
  <si>
    <t>Amount</t>
  </si>
  <si>
    <t>Standard OTP Premium</t>
  </si>
  <si>
    <t>Enhanced OTP Premium</t>
  </si>
  <si>
    <t>Simultaneous Fee</t>
  </si>
  <si>
    <t>Simultaneous: Loan Greater Than Sales Price</t>
  </si>
  <si>
    <t>LTP for loan up to OTP</t>
  </si>
  <si>
    <t>minimum</t>
  </si>
  <si>
    <t>Up to</t>
  </si>
  <si>
    <t>Over</t>
  </si>
  <si>
    <t>Calculation of Rates</t>
  </si>
  <si>
    <t>Simultaneous Issue Fee</t>
  </si>
  <si>
    <t>Effective Date:</t>
  </si>
  <si>
    <t>Transactions</t>
  </si>
  <si>
    <t>Cash Sale (OTP Only)</t>
  </si>
  <si>
    <t>Sale with Loan (OTP &amp; LTP)</t>
  </si>
  <si>
    <t>Refinance (LTP Only)</t>
  </si>
  <si>
    <t>Owner's Policies</t>
  </si>
  <si>
    <t>Basic</t>
  </si>
  <si>
    <t>Basic Owner's Policy</t>
  </si>
  <si>
    <t>Enhanced (Homeowner's)</t>
  </si>
  <si>
    <t>(select here)</t>
  </si>
  <si>
    <t>Adj. Enhanced OTP Premium for CD</t>
  </si>
  <si>
    <t>Adj. Basic OTP Premium for CD</t>
  </si>
  <si>
    <t>Owner's Policy</t>
  </si>
  <si>
    <t>OTP Adj.</t>
  </si>
  <si>
    <t>Basic Owner's Policy Only</t>
  </si>
  <si>
    <t>Transaction Type</t>
  </si>
  <si>
    <t>OTP Type</t>
  </si>
  <si>
    <t>Simultaneous Premium</t>
  </si>
  <si>
    <t>Simultaneous Premium For Closing Disclosure</t>
  </si>
  <si>
    <t>LTP for CD</t>
  </si>
  <si>
    <t>Basic OTP Premium</t>
  </si>
  <si>
    <t>Adj. LTP (not CD)</t>
  </si>
  <si>
    <t>Published Rates:</t>
  </si>
  <si>
    <t>Closing Disclosure (CD):</t>
  </si>
  <si>
    <t>COMMERCIAL</t>
  </si>
  <si>
    <t>Single Issue</t>
  </si>
  <si>
    <t>OTP or Single</t>
  </si>
  <si>
    <t>Simultaneous</t>
  </si>
  <si>
    <t>Over (tier)</t>
  </si>
  <si>
    <t>Over (flat rate)</t>
  </si>
  <si>
    <t>Base Premiums</t>
  </si>
  <si>
    <t>Final Premiums (loan higher liability add diff to si fee)</t>
  </si>
  <si>
    <t>Final Premiums (si fee for lower liability)</t>
  </si>
  <si>
    <t>Policies:</t>
  </si>
  <si>
    <t>Policies to be Issued</t>
  </si>
  <si>
    <t>Premium:</t>
  </si>
  <si>
    <t>Single Issue (OTP Only or LTP Only)</t>
  </si>
  <si>
    <t>Simultaneous Issue (OTP &amp; LTP)</t>
  </si>
  <si>
    <r>
      <t xml:space="preserve">Premium does </t>
    </r>
    <r>
      <rPr>
        <b/>
        <i/>
        <sz val="9"/>
        <color theme="0"/>
        <rFont val="Calibri"/>
        <family val="2"/>
        <scheme val="minor"/>
      </rPr>
      <t>not</t>
    </r>
    <r>
      <rPr>
        <b/>
        <sz val="9"/>
        <color theme="0"/>
        <rFont val="Calibri"/>
        <family val="2"/>
        <scheme val="minor"/>
      </rPr>
      <t xml:space="preserve"> include endorsements. 
Contact an underwriter for endorsement pricing.</t>
    </r>
  </si>
  <si>
    <t>March 1, 2022</t>
  </si>
  <si>
    <t>2017 published rates</t>
  </si>
  <si>
    <t>2022 published rates</t>
  </si>
  <si>
    <r>
      <rPr>
        <sz val="13.5"/>
        <color theme="0"/>
        <rFont val="Calibri"/>
        <family val="2"/>
        <scheme val="minor"/>
      </rPr>
      <t>Sales Price</t>
    </r>
    <r>
      <rPr>
        <sz val="14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(OTP)</t>
    </r>
  </si>
  <si>
    <r>
      <rPr>
        <sz val="13.5"/>
        <color theme="0"/>
        <rFont val="Calibri"/>
        <family val="2"/>
        <scheme val="minor"/>
      </rPr>
      <t xml:space="preserve">Loan Amount </t>
    </r>
    <r>
      <rPr>
        <sz val="11"/>
        <color theme="0"/>
        <rFont val="Calibri"/>
        <family val="2"/>
        <scheme val="minor"/>
      </rPr>
      <t>(LTP)</t>
    </r>
  </si>
  <si>
    <t>Loan Amount (LTP)</t>
  </si>
  <si>
    <t>Enhanced?</t>
  </si>
  <si>
    <t>Yes</t>
  </si>
  <si>
    <t>No</t>
  </si>
  <si>
    <t>Type</t>
  </si>
  <si>
    <t>Enhanced</t>
  </si>
  <si>
    <t>(select)</t>
  </si>
  <si>
    <t>E8</t>
  </si>
  <si>
    <t>OTP</t>
  </si>
  <si>
    <t>SIMO</t>
  </si>
  <si>
    <t>LTP</t>
  </si>
  <si>
    <t>E13</t>
  </si>
  <si>
    <t>E14</t>
  </si>
  <si>
    <t>No LTP</t>
  </si>
  <si>
    <t>No OTP</t>
  </si>
  <si>
    <t>OTP but type not selected</t>
  </si>
  <si>
    <t>OTP and type selected</t>
  </si>
  <si>
    <t>Type not selected</t>
  </si>
  <si>
    <t>else</t>
  </si>
  <si>
    <t>F13</t>
  </si>
  <si>
    <t>E15</t>
  </si>
  <si>
    <t>LTP but type no selected</t>
  </si>
  <si>
    <t>LTP and type selected</t>
  </si>
  <si>
    <t>Basic Loan Policy</t>
  </si>
  <si>
    <t>Enhanced Loan Policy</t>
  </si>
  <si>
    <t>Basic Owner's and Basic Loan</t>
  </si>
  <si>
    <t>Enhanced Owner's and Basic Loan</t>
  </si>
  <si>
    <t>Enhanced Owner's Policy with Basic Loan Policy</t>
  </si>
  <si>
    <t>Basic Owner's Policy with Basic Loan</t>
  </si>
  <si>
    <t>Enhanced Owner's Policy with Enhanced Loan Policy</t>
  </si>
  <si>
    <t>Basic Owner's Policy with Enhanced Loan Policy</t>
  </si>
  <si>
    <t>D15</t>
  </si>
  <si>
    <t>E-OTP</t>
  </si>
  <si>
    <t>E-OTP/LTP</t>
  </si>
  <si>
    <t>OTP/LTP</t>
  </si>
  <si>
    <t>E-LTP</t>
  </si>
  <si>
    <t>OTP/E-LTP</t>
  </si>
  <si>
    <t>E-OTP/E-LTP</t>
  </si>
  <si>
    <t>G15</t>
  </si>
  <si>
    <t>G16</t>
  </si>
  <si>
    <t>G14</t>
  </si>
  <si>
    <t>Remittance</t>
  </si>
  <si>
    <t>Do you want to include remittance calculation?</t>
  </si>
  <si>
    <t>Agent</t>
  </si>
  <si>
    <t>CTIC</t>
  </si>
  <si>
    <t>Remit to CTIC:</t>
  </si>
  <si>
    <t>Basic Owner's and Enhanced Loan</t>
  </si>
  <si>
    <t>Enhanced Owner's and Enhanced Loan</t>
  </si>
  <si>
    <t>March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</si>
</sst>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sz val="10"/>
      <color rgb="FF8E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7" tint="0.59999389629810485"/>
      <name val="Arial"/>
      <family val="2"/>
    </font>
    <font>
      <sz val="12"/>
      <color rgb="FF8E0000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13.5"/>
      <color theme="0"/>
      <name val="Calibri"/>
      <family val="2"/>
      <scheme val="minor"/>
    </font>
    <font>
      <b/>
      <sz val="13.5"/>
      <color theme="0"/>
      <name val="Calibri"/>
      <family val="2"/>
      <scheme val="minor"/>
    </font>
    <font>
      <b/>
      <sz val="14"/>
      <color rgb="FF093254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FFDF7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44" fontId="1" fillId="0" borderId="0" xfId="1" applyFill="1"/>
    <xf numFmtId="44" fontId="1" fillId="0" borderId="0" xfId="1"/>
    <xf numFmtId="44" fontId="1" fillId="0" borderId="7" xfId="1" applyFont="1" applyBorder="1"/>
    <xf numFmtId="44" fontId="3" fillId="2" borderId="8" xfId="1" applyFont="1" applyFill="1" applyBorder="1"/>
    <xf numFmtId="44" fontId="1" fillId="0" borderId="7" xfId="1" applyFont="1" applyFill="1" applyBorder="1"/>
    <xf numFmtId="44" fontId="3" fillId="0" borderId="0" xfId="1" applyFont="1" applyFill="1" applyBorder="1"/>
    <xf numFmtId="44" fontId="0" fillId="0" borderId="0" xfId="1" applyFont="1"/>
    <xf numFmtId="44" fontId="3" fillId="0" borderId="9" xfId="1" quotePrefix="1" applyFont="1" applyBorder="1" applyAlignment="1">
      <alignment horizontal="left"/>
    </xf>
    <xf numFmtId="44" fontId="3" fillId="0" borderId="7" xfId="0" applyNumberFormat="1" applyFont="1" applyBorder="1"/>
    <xf numFmtId="44" fontId="3" fillId="2" borderId="8" xfId="0" applyNumberFormat="1" applyFont="1" applyFill="1" applyBorder="1"/>
    <xf numFmtId="0" fontId="7" fillId="0" borderId="0" xfId="0" applyFont="1" applyAlignment="1" applyProtection="1">
      <alignment vertical="center"/>
      <protection hidden="1"/>
    </xf>
    <xf numFmtId="44" fontId="9" fillId="0" borderId="0" xfId="1" applyFont="1" applyAlignment="1" applyProtection="1">
      <alignment vertical="center"/>
      <protection hidden="1"/>
    </xf>
    <xf numFmtId="44" fontId="7" fillId="0" borderId="0" xfId="1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right"/>
    </xf>
    <xf numFmtId="43" fontId="0" fillId="0" borderId="0" xfId="2" applyFont="1"/>
    <xf numFmtId="4" fontId="0" fillId="0" borderId="0" xfId="2" applyNumberFormat="1" applyFont="1"/>
    <xf numFmtId="4" fontId="0" fillId="0" borderId="0" xfId="2" applyNumberFormat="1" applyFont="1" applyFill="1" applyBorder="1"/>
    <xf numFmtId="43" fontId="0" fillId="0" borderId="7" xfId="2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4" fontId="2" fillId="3" borderId="6" xfId="1" applyFont="1" applyFill="1" applyBorder="1" applyAlignment="1" applyProtection="1">
      <alignment vertical="center"/>
    </xf>
    <xf numFmtId="0" fontId="3" fillId="7" borderId="1" xfId="0" applyFont="1" applyFill="1" applyBorder="1" applyAlignment="1">
      <alignment vertical="center"/>
    </xf>
    <xf numFmtId="44" fontId="2" fillId="7" borderId="3" xfId="1" applyFont="1" applyFill="1" applyBorder="1" applyAlignment="1" applyProtection="1">
      <alignment vertical="center"/>
    </xf>
    <xf numFmtId="0" fontId="3" fillId="7" borderId="4" xfId="0" applyFont="1" applyFill="1" applyBorder="1" applyAlignment="1">
      <alignment vertical="center"/>
    </xf>
    <xf numFmtId="44" fontId="1" fillId="0" borderId="0" xfId="1" applyFill="1" applyProtection="1"/>
    <xf numFmtId="44" fontId="0" fillId="0" borderId="0" xfId="1" applyFont="1" applyFill="1"/>
    <xf numFmtId="0" fontId="0" fillId="0" borderId="0" xfId="0" applyAlignment="1">
      <alignment horizontal="center"/>
    </xf>
    <xf numFmtId="44" fontId="1" fillId="0" borderId="7" xfId="1" applyFont="1" applyFill="1" applyBorder="1" applyAlignment="1"/>
    <xf numFmtId="44" fontId="1" fillId="0" borderId="9" xfId="1" quotePrefix="1" applyFont="1" applyBorder="1" applyAlignment="1"/>
    <xf numFmtId="44" fontId="3" fillId="2" borderId="8" xfId="1" applyFont="1" applyFill="1" applyBorder="1" applyAlignment="1"/>
    <xf numFmtId="4" fontId="11" fillId="0" borderId="0" xfId="2" applyNumberFormat="1" applyFont="1" applyProtection="1">
      <protection locked="0"/>
    </xf>
    <xf numFmtId="43" fontId="11" fillId="0" borderId="0" xfId="2" applyFont="1" applyProtection="1">
      <protection locked="0"/>
    </xf>
    <xf numFmtId="2" fontId="11" fillId="0" borderId="0" xfId="2" applyNumberFormat="1" applyFont="1" applyAlignment="1" applyProtection="1">
      <alignment horizontal="right"/>
      <protection locked="0"/>
    </xf>
    <xf numFmtId="44" fontId="11" fillId="0" borderId="8" xfId="1" applyFont="1" applyBorder="1" applyProtection="1">
      <protection locked="0"/>
    </xf>
    <xf numFmtId="0" fontId="0" fillId="0" borderId="0" xfId="0" quotePrefix="1"/>
    <xf numFmtId="0" fontId="0" fillId="0" borderId="0" xfId="0" applyAlignment="1">
      <alignment horizontal="left"/>
    </xf>
    <xf numFmtId="49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3" fillId="0" borderId="13" xfId="0" applyFont="1" applyBorder="1" applyAlignment="1">
      <alignment vertical="center"/>
    </xf>
    <xf numFmtId="44" fontId="0" fillId="0" borderId="8" xfId="1" applyFont="1" applyBorder="1"/>
    <xf numFmtId="0" fontId="18" fillId="0" borderId="0" xfId="0" applyFont="1" applyAlignment="1" applyProtection="1">
      <alignment vertical="center"/>
      <protection hidden="1"/>
    </xf>
    <xf numFmtId="44" fontId="14" fillId="0" borderId="0" xfId="1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44" fontId="2" fillId="12" borderId="19" xfId="1" applyFont="1" applyFill="1" applyBorder="1" applyAlignment="1" applyProtection="1">
      <alignment vertical="center"/>
    </xf>
    <xf numFmtId="44" fontId="2" fillId="12" borderId="10" xfId="1" applyFont="1" applyFill="1" applyBorder="1" applyAlignment="1" applyProtection="1">
      <alignment vertical="center"/>
    </xf>
    <xf numFmtId="44" fontId="19" fillId="11" borderId="3" xfId="1" applyFont="1" applyFill="1" applyBorder="1" applyAlignment="1" applyProtection="1">
      <alignment vertical="center"/>
    </xf>
    <xf numFmtId="44" fontId="19" fillId="11" borderId="4" xfId="1" applyFont="1" applyFill="1" applyBorder="1" applyAlignment="1" applyProtection="1">
      <alignment vertical="center"/>
    </xf>
    <xf numFmtId="44" fontId="19" fillId="11" borderId="6" xfId="1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15" fillId="0" borderId="22" xfId="0" applyFont="1" applyBorder="1" applyAlignment="1" applyProtection="1">
      <alignment horizontal="right" vertical="center"/>
      <protection hidden="1"/>
    </xf>
    <xf numFmtId="0" fontId="15" fillId="0" borderId="20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44" fontId="15" fillId="0" borderId="23" xfId="1" applyFont="1" applyBorder="1" applyAlignment="1" applyProtection="1">
      <alignment vertical="center"/>
      <protection hidden="1"/>
    </xf>
    <xf numFmtId="44" fontId="15" fillId="0" borderId="21" xfId="1" applyFont="1" applyBorder="1" applyAlignment="1" applyProtection="1">
      <alignment vertical="center"/>
      <protection hidden="1"/>
    </xf>
    <xf numFmtId="44" fontId="15" fillId="0" borderId="23" xfId="0" applyNumberFormat="1" applyFont="1" applyBorder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3" fillId="14" borderId="8" xfId="0" applyFont="1" applyFill="1" applyBorder="1" applyAlignment="1">
      <alignment horizontal="center"/>
    </xf>
    <xf numFmtId="44" fontId="0" fillId="0" borderId="0" xfId="0" applyNumberFormat="1"/>
    <xf numFmtId="43" fontId="1" fillId="0" borderId="0" xfId="2" applyFont="1" applyProtection="1"/>
    <xf numFmtId="4" fontId="1" fillId="0" borderId="0" xfId="2" applyNumberFormat="1" applyFont="1" applyProtection="1"/>
    <xf numFmtId="0" fontId="3" fillId="0" borderId="0" xfId="0" applyFont="1" applyAlignment="1">
      <alignment horizontal="right"/>
    </xf>
    <xf numFmtId="44" fontId="20" fillId="15" borderId="8" xfId="1" applyFont="1" applyFill="1" applyBorder="1" applyAlignment="1"/>
    <xf numFmtId="44" fontId="3" fillId="0" borderId="0" xfId="1" applyFont="1" applyAlignment="1">
      <alignment horizontal="center"/>
    </xf>
    <xf numFmtId="0" fontId="3" fillId="16" borderId="24" xfId="0" applyFont="1" applyFill="1" applyBorder="1"/>
    <xf numFmtId="0" fontId="3" fillId="16" borderId="25" xfId="0" applyFont="1" applyFill="1" applyBorder="1"/>
    <xf numFmtId="43" fontId="11" fillId="16" borderId="25" xfId="2" applyFont="1" applyFill="1" applyBorder="1" applyProtection="1"/>
    <xf numFmtId="44" fontId="1" fillId="0" borderId="0" xfId="1" applyFill="1" applyBorder="1" applyProtection="1"/>
    <xf numFmtId="44" fontId="0" fillId="0" borderId="0" xfId="1" applyFont="1" applyFill="1" applyBorder="1"/>
    <xf numFmtId="44" fontId="1" fillId="0" borderId="0" xfId="1" applyFont="1" applyFill="1" applyBorder="1" applyAlignment="1"/>
    <xf numFmtId="44" fontId="3" fillId="0" borderId="0" xfId="1" quotePrefix="1" applyFont="1" applyFill="1" applyBorder="1" applyAlignment="1"/>
    <xf numFmtId="44" fontId="3" fillId="0" borderId="0" xfId="0" applyNumberFormat="1" applyFont="1"/>
    <xf numFmtId="1" fontId="0" fillId="0" borderId="0" xfId="0" applyNumberFormat="1"/>
    <xf numFmtId="43" fontId="21" fillId="0" borderId="0" xfId="0" applyNumberFormat="1" applyFont="1"/>
    <xf numFmtId="0" fontId="22" fillId="0" borderId="0" xfId="0" applyFont="1" applyAlignment="1" applyProtection="1">
      <alignment vertical="center"/>
      <protection hidden="1"/>
    </xf>
    <xf numFmtId="44" fontId="17" fillId="0" borderId="0" xfId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44" fontId="15" fillId="0" borderId="0" xfId="1" applyFont="1" applyBorder="1" applyAlignment="1" applyProtection="1">
      <alignment vertical="center"/>
      <protection hidden="1"/>
    </xf>
    <xf numFmtId="44" fontId="15" fillId="0" borderId="0" xfId="0" applyNumberFormat="1" applyFont="1" applyAlignment="1" applyProtection="1">
      <alignment vertical="center"/>
      <protection hidden="1"/>
    </xf>
    <xf numFmtId="44" fontId="23" fillId="0" borderId="8" xfId="1" applyFont="1" applyFill="1" applyBorder="1" applyAlignment="1"/>
    <xf numFmtId="0" fontId="2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1" fillId="0" borderId="0" xfId="0" quotePrefix="1" applyNumberFormat="1" applyFont="1"/>
    <xf numFmtId="0" fontId="27" fillId="0" borderId="13" xfId="0" applyFont="1" applyBorder="1" applyAlignment="1" applyProtection="1">
      <alignment horizontal="right" vertical="center"/>
      <protection hidden="1"/>
    </xf>
    <xf numFmtId="44" fontId="28" fillId="0" borderId="14" xfId="1" applyFont="1" applyBorder="1" applyAlignment="1" applyProtection="1">
      <alignment vertical="center"/>
      <protection hidden="1"/>
    </xf>
    <xf numFmtId="44" fontId="28" fillId="0" borderId="21" xfId="1" applyFont="1" applyBorder="1" applyAlignment="1" applyProtection="1">
      <alignment vertical="center"/>
      <protection hidden="1"/>
    </xf>
    <xf numFmtId="44" fontId="27" fillId="0" borderId="0" xfId="1" applyFont="1" applyFill="1" applyBorder="1" applyAlignment="1" applyProtection="1">
      <alignment vertical="center"/>
      <protection locked="0"/>
    </xf>
    <xf numFmtId="0" fontId="30" fillId="0" borderId="0" xfId="0" applyFont="1"/>
    <xf numFmtId="0" fontId="7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44" fontId="12" fillId="0" borderId="0" xfId="1" applyFont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vertical="center"/>
    </xf>
    <xf numFmtId="0" fontId="31" fillId="0" borderId="0" xfId="0" applyFont="1" applyAlignment="1" applyProtection="1">
      <alignment vertical="center"/>
      <protection hidden="1"/>
    </xf>
    <xf numFmtId="0" fontId="27" fillId="0" borderId="1" xfId="0" applyFont="1" applyBorder="1" applyAlignment="1" applyProtection="1">
      <alignment horizontal="right" vertical="center"/>
      <protection hidden="1"/>
    </xf>
    <xf numFmtId="9" fontId="12" fillId="0" borderId="0" xfId="3" applyFont="1" applyAlignment="1" applyProtection="1">
      <alignment horizontal="right" vertical="center"/>
      <protection hidden="1"/>
    </xf>
    <xf numFmtId="44" fontId="12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9" borderId="0" xfId="0" applyFont="1" applyFill="1" applyAlignment="1" applyProtection="1">
      <alignment horizontal="center" vertical="center"/>
      <protection locked="0" hidden="1"/>
    </xf>
    <xf numFmtId="9" fontId="32" fillId="9" borderId="26" xfId="3" applyFont="1" applyFill="1" applyBorder="1" applyAlignment="1" applyProtection="1">
      <alignment horizontal="center" vertical="center"/>
      <protection locked="0" hidden="1"/>
    </xf>
    <xf numFmtId="9" fontId="33" fillId="0" borderId="0" xfId="3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44" fontId="0" fillId="0" borderId="0" xfId="0" applyNumberFormat="1" applyAlignment="1">
      <alignment horizontal="left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3" fillId="9" borderId="0" xfId="0" applyFont="1" applyFill="1" applyAlignment="1" applyProtection="1">
      <alignment horizontal="left" vertical="center"/>
      <protection locked="0" hidden="1"/>
    </xf>
    <xf numFmtId="0" fontId="12" fillId="0" borderId="0" xfId="0" applyFont="1" applyAlignment="1" applyProtection="1">
      <alignment horizontal="left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0" fillId="10" borderId="5" xfId="0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3" fillId="8" borderId="18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3" fillId="0" borderId="20" xfId="0" applyFont="1" applyBorder="1" applyAlignment="1">
      <alignment horizontal="center"/>
    </xf>
    <xf numFmtId="0" fontId="20" fillId="13" borderId="16" xfId="0" applyFont="1" applyFill="1" applyBorder="1" applyAlignment="1">
      <alignment horizontal="center"/>
    </xf>
    <xf numFmtId="0" fontId="20" fillId="13" borderId="17" xfId="0" applyFont="1" applyFill="1" applyBorder="1" applyAlignment="1">
      <alignment horizontal="center"/>
    </xf>
    <xf numFmtId="0" fontId="20" fillId="13" borderId="18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43" fontId="11" fillId="0" borderId="16" xfId="2" applyFont="1" applyBorder="1" applyAlignment="1" applyProtection="1">
      <alignment horizontal="center"/>
      <protection locked="0"/>
    </xf>
    <xf numFmtId="43" fontId="11" fillId="0" borderId="18" xfId="2" applyFont="1" applyBorder="1" applyAlignment="1" applyProtection="1">
      <alignment horizontal="center"/>
      <protection locked="0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62">
    <dxf>
      <border>
        <top style="thin">
          <color auto="1"/>
        </top>
        <vertical/>
        <horizontal/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/>
      </font>
    </dxf>
    <dxf>
      <border>
        <top style="thin">
          <color auto="1"/>
        </top>
        <vertical/>
        <horizontal/>
      </border>
    </dxf>
    <dxf>
      <fill>
        <patternFill>
          <bgColor rgb="FFFFC000"/>
        </patternFill>
      </fill>
      <border>
        <top style="thin">
          <color theme="0"/>
        </top>
      </border>
    </dxf>
    <dxf>
      <fill>
        <patternFill>
          <bgColor rgb="FFFFDF79"/>
        </patternFill>
      </fill>
      <border>
        <top style="thin">
          <color theme="0"/>
        </top>
      </border>
    </dxf>
    <dxf>
      <fill>
        <patternFill>
          <bgColor rgb="FFFFC000"/>
        </patternFill>
      </fill>
    </dxf>
    <dxf>
      <fill>
        <patternFill>
          <bgColor rgb="FFFFDF79"/>
        </patternFill>
      </fill>
    </dxf>
    <dxf>
      <fill>
        <patternFill>
          <bgColor rgb="FFFFDF79"/>
        </patternFill>
      </fill>
    </dxf>
    <dxf>
      <font>
        <color theme="1"/>
      </font>
    </dxf>
    <dxf>
      <fill>
        <patternFill>
          <bgColor rgb="FFFFC000"/>
        </patternFill>
      </fill>
    </dxf>
    <dxf>
      <font>
        <color theme="1"/>
      </font>
    </dxf>
    <dxf>
      <border>
        <left/>
        <right/>
        <top/>
        <bottom/>
        <vertical/>
        <horizontal/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top style="thin">
          <color auto="1"/>
        </top>
        <vertical/>
        <horizontal/>
      </border>
    </dxf>
    <dxf>
      <font>
        <color rgb="FF093254"/>
      </font>
    </dxf>
    <dxf>
      <border>
        <top style="thin">
          <color auto="1"/>
        </top>
        <vertical/>
        <horizontal/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C000"/>
        </patternFill>
      </fill>
    </dxf>
    <dxf>
      <font>
        <color theme="1"/>
      </font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ont>
        <color theme="1"/>
      </font>
    </dxf>
    <dxf>
      <fill>
        <patternFill>
          <bgColor rgb="FFFFDF79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/>
      </font>
    </dxf>
    <dxf>
      <border>
        <top style="thin">
          <color auto="1"/>
        </top>
        <vertical/>
        <horizontal/>
      </border>
    </dxf>
    <dxf>
      <fill>
        <patternFill>
          <bgColor rgb="FFFFDF79"/>
        </patternFill>
      </fill>
      <border>
        <top style="thin">
          <color theme="0"/>
        </top>
      </border>
    </dxf>
    <dxf>
      <fill>
        <patternFill>
          <bgColor rgb="FFFFC000"/>
        </patternFill>
      </fill>
      <border>
        <top style="thin">
          <color theme="0"/>
        </top>
      </border>
    </dxf>
    <dxf>
      <fill>
        <patternFill>
          <bgColor rgb="FFFFDF79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ont>
        <color theme="1"/>
      </font>
    </dxf>
    <dxf>
      <fill>
        <patternFill>
          <bgColor rgb="FFFFC000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</dxf>
    <dxf>
      <border>
        <left/>
        <right/>
        <top/>
        <bottom/>
        <vertical/>
        <horizontal/>
      </border>
    </dxf>
    <dxf>
      <font>
        <color theme="1"/>
      </font>
    </dxf>
    <dxf>
      <font>
        <color theme="1"/>
      </font>
    </dxf>
    <dxf>
      <font>
        <color rgb="FF093254"/>
      </font>
    </dxf>
    <dxf>
      <font>
        <color theme="1"/>
      </font>
    </dxf>
    <dxf>
      <font>
        <color theme="1"/>
      </font>
    </dxf>
    <dxf>
      <fill>
        <patternFill>
          <bgColor theme="3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</dxfs>
  <tableStyles count="1" defaultTableStyle="TableStyleMedium2" defaultPivotStyle="PivotStyleLight16">
    <tableStyle name="Table Style 2" pivot="0" count="3" xr9:uid="{00000000-0011-0000-FFFF-FFFF00000000}">
      <tableStyleElement type="headerRow" dxfId="61"/>
      <tableStyleElement type="firstRowStripe" dxfId="60"/>
      <tableStyleElement type="secondRowStripe" dxfId="59"/>
    </tableStyle>
  </tableStyles>
  <colors>
    <mruColors>
      <color rgb="FF093254"/>
      <color rgb="FFFFFFFF"/>
      <color rgb="FFFFDF79"/>
      <color rgb="FF142F50"/>
      <color rgb="FF163356"/>
      <color rgb="FF8E0000"/>
      <color rgb="FFFFDC6D"/>
      <color rgb="FFB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nationalagency.fnf.com/ga/ctic-cltic/About-U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ticga.com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nationalagency.fnf.com/ga/ctic-cltic/About-Us" TargetMode="External"/><Relationship Id="rId1" Type="http://schemas.openxmlformats.org/officeDocument/2006/relationships/hyperlink" Target="http://www.cticga.com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26671</xdr:colOff>
      <xdr:row>1</xdr:row>
      <xdr:rowOff>180975</xdr:rowOff>
    </xdr:from>
    <xdr:to>
      <xdr:col>7</xdr:col>
      <xdr:colOff>152401</xdr:colOff>
      <xdr:row>25</xdr:row>
      <xdr:rowOff>114299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900B7493-1C3A-4F39-A447-74BD71D343DA}"/>
            </a:ext>
          </a:extLst>
        </xdr:cNvPr>
        <xdr:cNvGrpSpPr/>
      </xdr:nvGrpSpPr>
      <xdr:grpSpPr>
        <a:xfrm>
          <a:off x="4312921" y="819150"/>
          <a:ext cx="1973580" cy="4600574"/>
          <a:chOff x="4427221" y="1167414"/>
          <a:chExt cx="2021205" cy="4240494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4465312" y="1167414"/>
            <a:ext cx="1855470" cy="4240494"/>
          </a:xfrm>
          <a:prstGeom prst="rect">
            <a:avLst/>
          </a:prstGeom>
          <a:solidFill>
            <a:srgbClr val="093254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590C8793-9684-4B7E-8C9A-3EB33E78977A}"/>
              </a:ext>
            </a:extLst>
          </xdr:cNvPr>
          <xdr:cNvSpPr txBox="1"/>
        </xdr:nvSpPr>
        <xdr:spPr>
          <a:xfrm>
            <a:off x="4427221" y="3857748"/>
            <a:ext cx="2021205" cy="11430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000" b="1">
                <a:solidFill>
                  <a:schemeClr val="bg1"/>
                </a:solidFill>
              </a:rPr>
              <a:t>Chicago Title </a:t>
            </a:r>
            <a:r>
              <a:rPr lang="en-US" sz="1000" b="0">
                <a:solidFill>
                  <a:schemeClr val="bg1"/>
                </a:solidFill>
              </a:rPr>
              <a:t>and </a:t>
            </a:r>
            <a:r>
              <a:rPr lang="en-US" sz="1000" b="1">
                <a:solidFill>
                  <a:schemeClr val="bg1"/>
                </a:solidFill>
              </a:rPr>
              <a:t>Commonwealth Land Title Insurance Company</a:t>
            </a:r>
          </a:p>
          <a:p>
            <a:pPr algn="l"/>
            <a:r>
              <a:rPr lang="en-US" sz="1000" b="0">
                <a:solidFill>
                  <a:schemeClr val="bg1"/>
                </a:solidFill>
              </a:rPr>
              <a:t>4170 Ashford Dunwoody Road</a:t>
            </a:r>
          </a:p>
          <a:p>
            <a:pPr algn="l"/>
            <a:r>
              <a:rPr lang="en-US" sz="1000" b="0">
                <a:solidFill>
                  <a:schemeClr val="bg1"/>
                </a:solidFill>
              </a:rPr>
              <a:t>Suite 460</a:t>
            </a:r>
          </a:p>
          <a:p>
            <a:pPr algn="l"/>
            <a:r>
              <a:rPr lang="en-US" sz="1000" b="0">
                <a:solidFill>
                  <a:schemeClr val="bg1"/>
                </a:solidFill>
              </a:rPr>
              <a:t>Atlanta, GA 30319</a:t>
            </a:r>
          </a:p>
          <a:p>
            <a:pPr algn="l"/>
            <a:r>
              <a:rPr lang="en-US" sz="1000" b="1">
                <a:solidFill>
                  <a:schemeClr val="bg1"/>
                </a:solidFill>
              </a:rPr>
              <a:t>Main (404)</a:t>
            </a:r>
            <a:r>
              <a:rPr lang="en-US" sz="1000" b="1" baseline="0">
                <a:solidFill>
                  <a:schemeClr val="bg1"/>
                </a:solidFill>
              </a:rPr>
              <a:t> 303-6300</a:t>
            </a:r>
            <a:endParaRPr lang="en-US" sz="10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9D9BE25-2C86-4CAA-815F-ECAD6873905A}"/>
              </a:ext>
            </a:extLst>
          </xdr:cNvPr>
          <xdr:cNvSpPr txBox="1"/>
        </xdr:nvSpPr>
        <xdr:spPr>
          <a:xfrm>
            <a:off x="4429124" y="5026987"/>
            <a:ext cx="1163955" cy="260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000" b="1">
                <a:solidFill>
                  <a:schemeClr val="bg1"/>
                </a:solidFill>
              </a:rPr>
              <a:t>www.cticga.com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39924</xdr:colOff>
      <xdr:row>4</xdr:row>
      <xdr:rowOff>22859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955C0EF-1903-4892-ABE0-560B1F81DD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965"/>
        <a:stretch/>
      </xdr:blipFill>
      <xdr:spPr bwMode="auto">
        <a:xfrm>
          <a:off x="0" y="0"/>
          <a:ext cx="6326424" cy="126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3292125</xdr:colOff>
      <xdr:row>22</xdr:row>
      <xdr:rowOff>298</xdr:rowOff>
    </xdr:to>
    <xdr:pic>
      <xdr:nvPicPr>
        <xdr:cNvPr id="2" name="Picture 1">
          <a:hlinkClick xmlns:r="http://schemas.openxmlformats.org/officeDocument/2006/relationships" r:id="rId3" tooltip="CTICGA Team"/>
          <a:extLst>
            <a:ext uri="{FF2B5EF4-FFF2-40B4-BE49-F238E27FC236}">
              <a16:creationId xmlns:a16="http://schemas.microsoft.com/office/drawing/2014/main" id="{3EDB3EBF-9E96-4926-A2F0-D2A48172E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82740" y="1371600"/>
          <a:ext cx="3292125" cy="3444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</xdr:colOff>
      <xdr:row>1</xdr:row>
      <xdr:rowOff>171450</xdr:rowOff>
    </xdr:from>
    <xdr:to>
      <xdr:col>7</xdr:col>
      <xdr:colOff>150495</xdr:colOff>
      <xdr:row>25</xdr:row>
      <xdr:rowOff>7618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C761477E-0AB8-4535-949A-D94C47A2295B}"/>
            </a:ext>
          </a:extLst>
        </xdr:cNvPr>
        <xdr:cNvGrpSpPr/>
      </xdr:nvGrpSpPr>
      <xdr:grpSpPr>
        <a:xfrm>
          <a:off x="4311015" y="809625"/>
          <a:ext cx="1973580" cy="4589143"/>
          <a:chOff x="4427221" y="1340920"/>
          <a:chExt cx="2021205" cy="3928019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69402611-4816-42A6-819F-BB1638FCEEF8}"/>
              </a:ext>
            </a:extLst>
          </xdr:cNvPr>
          <xdr:cNvSpPr/>
        </xdr:nvSpPr>
        <xdr:spPr>
          <a:xfrm>
            <a:off x="4472925" y="1340920"/>
            <a:ext cx="1847986" cy="3928019"/>
          </a:xfrm>
          <a:prstGeom prst="rect">
            <a:avLst/>
          </a:prstGeom>
          <a:solidFill>
            <a:srgbClr val="093254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E4D462D7-1AA6-4AC4-BF8E-7064F665D4A9}"/>
              </a:ext>
            </a:extLst>
          </xdr:cNvPr>
          <xdr:cNvSpPr txBox="1"/>
        </xdr:nvSpPr>
        <xdr:spPr>
          <a:xfrm>
            <a:off x="4427221" y="3832950"/>
            <a:ext cx="2021205" cy="11430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000" b="1">
                <a:solidFill>
                  <a:schemeClr val="bg1"/>
                </a:solidFill>
              </a:rPr>
              <a:t>Chicago Title </a:t>
            </a:r>
            <a:r>
              <a:rPr lang="en-US" sz="1000" b="0">
                <a:solidFill>
                  <a:schemeClr val="bg1"/>
                </a:solidFill>
              </a:rPr>
              <a:t>and </a:t>
            </a:r>
            <a:r>
              <a:rPr lang="en-US" sz="1000" b="1">
                <a:solidFill>
                  <a:schemeClr val="bg1"/>
                </a:solidFill>
              </a:rPr>
              <a:t>Commonwealth Land Title Insurance Company</a:t>
            </a:r>
          </a:p>
          <a:p>
            <a:pPr algn="l"/>
            <a:r>
              <a:rPr lang="en-US" sz="1000" b="0">
                <a:solidFill>
                  <a:schemeClr val="bg1"/>
                </a:solidFill>
              </a:rPr>
              <a:t>4170 Ashford Dunwoody Road</a:t>
            </a:r>
          </a:p>
          <a:p>
            <a:pPr algn="l"/>
            <a:r>
              <a:rPr lang="en-US" sz="1000" b="0">
                <a:solidFill>
                  <a:schemeClr val="bg1"/>
                </a:solidFill>
              </a:rPr>
              <a:t>Suite 460</a:t>
            </a:r>
          </a:p>
          <a:p>
            <a:pPr algn="l"/>
            <a:r>
              <a:rPr lang="en-US" sz="1000" b="0">
                <a:solidFill>
                  <a:schemeClr val="bg1"/>
                </a:solidFill>
              </a:rPr>
              <a:t>Atlanta, GA 30319</a:t>
            </a:r>
          </a:p>
          <a:p>
            <a:pPr algn="l"/>
            <a:r>
              <a:rPr lang="en-US" sz="1000" b="1">
                <a:solidFill>
                  <a:schemeClr val="bg1"/>
                </a:solidFill>
              </a:rPr>
              <a:t>Main (404)</a:t>
            </a:r>
            <a:r>
              <a:rPr lang="en-US" sz="1000" b="1" baseline="0">
                <a:solidFill>
                  <a:schemeClr val="bg1"/>
                </a:solidFill>
              </a:rPr>
              <a:t> 303-6300</a:t>
            </a:r>
            <a:endParaRPr lang="en-US" sz="1000" b="1">
              <a:solidFill>
                <a:schemeClr val="bg1"/>
              </a:solidFill>
            </a:endParaRPr>
          </a:p>
        </xdr:txBody>
      </xdr:sp>
      <xdr:sp macro="" textlink="">
        <xdr:nvSpPr>
          <xdr:cNvPr id="20" name="TextBox 1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1C7D53C-14FC-42E8-A0DE-346C59C8AC99}"/>
              </a:ext>
            </a:extLst>
          </xdr:cNvPr>
          <xdr:cNvSpPr txBox="1"/>
        </xdr:nvSpPr>
        <xdr:spPr>
          <a:xfrm>
            <a:off x="4429126" y="4920034"/>
            <a:ext cx="1163955" cy="260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000" b="1">
                <a:solidFill>
                  <a:schemeClr val="bg1"/>
                </a:solidFill>
              </a:rPr>
              <a:t>www.cticga.com</a:t>
            </a:r>
          </a:p>
        </xdr:txBody>
      </xdr:sp>
    </xdr:grp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3292125</xdr:colOff>
      <xdr:row>21</xdr:row>
      <xdr:rowOff>114598</xdr:rowOff>
    </xdr:to>
    <xdr:pic>
      <xdr:nvPicPr>
        <xdr:cNvPr id="2" name="Picture 1">
          <a:hlinkClick xmlns:r="http://schemas.openxmlformats.org/officeDocument/2006/relationships" r:id="rId2" tooltip="CTICGA Team"/>
          <a:extLst>
            <a:ext uri="{FF2B5EF4-FFF2-40B4-BE49-F238E27FC236}">
              <a16:creationId xmlns:a16="http://schemas.microsoft.com/office/drawing/2014/main" id="{0763E886-2507-F84F-AAE5-781774F30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82740" y="1371600"/>
          <a:ext cx="3292125" cy="34445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39924</xdr:colOff>
      <xdr:row>4</xdr:row>
      <xdr:rowOff>22859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79B42E-D581-47F3-9DF2-614C150CDA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965"/>
        <a:stretch/>
      </xdr:blipFill>
      <xdr:spPr bwMode="auto">
        <a:xfrm>
          <a:off x="0" y="0"/>
          <a:ext cx="6349284" cy="1257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</xdr:colOff>
      <xdr:row>2</xdr:row>
      <xdr:rowOff>38100</xdr:rowOff>
    </xdr:from>
    <xdr:to>
      <xdr:col>6</xdr:col>
      <xdr:colOff>1576826</xdr:colOff>
      <xdr:row>3</xdr:row>
      <xdr:rowOff>160020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DC7CAD-1B68-4683-DB2E-04D141463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4340" y="876300"/>
          <a:ext cx="5554466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8"/>
  <sheetViews>
    <sheetView showGridLines="0" showRowColHeaders="0" tabSelected="1" zoomScaleNormal="100" workbookViewId="0">
      <selection activeCell="F11" sqref="F11"/>
    </sheetView>
  </sheetViews>
  <sheetFormatPr defaultColWidth="9.140625" defaultRowHeight="15.75" x14ac:dyDescent="0.2"/>
  <cols>
    <col min="1" max="1" width="3.7109375" style="14" customWidth="1"/>
    <col min="2" max="2" width="15.85546875" style="14" customWidth="1"/>
    <col min="3" max="3" width="9.85546875" style="14" customWidth="1"/>
    <col min="4" max="4" width="19.85546875" style="14" customWidth="1"/>
    <col min="5" max="5" width="4" style="14" customWidth="1"/>
    <col min="6" max="6" width="11" style="14" customWidth="1"/>
    <col min="7" max="7" width="27.7109375" style="14" customWidth="1"/>
    <col min="8" max="8" width="5.42578125" style="14" customWidth="1"/>
    <col min="9" max="9" width="60.140625" style="14" customWidth="1"/>
    <col min="10" max="16384" width="9.140625" style="14"/>
  </cols>
  <sheetData>
    <row r="1" spans="1:21" ht="50.45" customHeight="1" x14ac:dyDescent="0.2">
      <c r="I1" s="12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x14ac:dyDescent="0.2"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x14ac:dyDescent="0.2"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1" x14ac:dyDescent="0.2"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10.9" customHeight="1" x14ac:dyDescent="0.2">
      <c r="A5" s="126"/>
      <c r="B5" s="126"/>
      <c r="C5" s="126"/>
      <c r="D5" s="126"/>
      <c r="E5" s="126"/>
      <c r="F5" s="94"/>
      <c r="K5" s="111"/>
      <c r="L5" s="50"/>
      <c r="M5" s="50"/>
      <c r="N5" s="50"/>
      <c r="O5" s="50"/>
      <c r="P5" s="50"/>
      <c r="Q5" s="50"/>
      <c r="R5" s="50"/>
      <c r="S5" s="50"/>
      <c r="T5" s="111"/>
      <c r="U5" s="111"/>
    </row>
    <row r="6" spans="1:21" ht="18" customHeight="1" x14ac:dyDescent="0.2">
      <c r="A6" s="125" t="str">
        <f>"Effective "&amp;'R-Tables'!F2</f>
        <v>Effective March 1, 2024</v>
      </c>
      <c r="B6" s="125"/>
      <c r="C6" s="125"/>
      <c r="D6" s="125"/>
      <c r="E6" s="125"/>
      <c r="F6" s="125"/>
      <c r="K6" s="111"/>
      <c r="L6" s="50"/>
      <c r="M6" s="50"/>
      <c r="N6" s="50"/>
      <c r="O6" s="50"/>
      <c r="P6" s="50"/>
      <c r="Q6" s="50"/>
      <c r="R6" s="50"/>
      <c r="S6" s="50"/>
      <c r="T6" s="111"/>
      <c r="U6" s="111"/>
    </row>
    <row r="7" spans="1:21" ht="10.9" customHeight="1" x14ac:dyDescent="0.2">
      <c r="K7" s="111"/>
      <c r="L7" s="50"/>
      <c r="M7" s="50"/>
      <c r="N7" s="50" t="s">
        <v>76</v>
      </c>
      <c r="O7" s="50" t="s">
        <v>77</v>
      </c>
      <c r="P7" s="50" t="s">
        <v>78</v>
      </c>
      <c r="Q7" s="50" t="s">
        <v>74</v>
      </c>
      <c r="R7" s="50"/>
      <c r="S7" s="50"/>
      <c r="T7" s="111"/>
      <c r="U7" s="111"/>
    </row>
    <row r="8" spans="1:21" ht="18" customHeight="1" x14ac:dyDescent="0.2">
      <c r="B8" s="46" t="s">
        <v>39</v>
      </c>
      <c r="C8" s="128" t="s">
        <v>27</v>
      </c>
      <c r="D8" s="128"/>
      <c r="E8" s="50">
        <f>IF(C8="Cash Sale (OTP Only)",1,IF(C8="Sale with Loan (OTP &amp; LTP)",2,IF(C8="Refinance (LTP Only)",3,0)))</f>
        <v>2</v>
      </c>
      <c r="F8" s="50"/>
      <c r="K8" s="111"/>
      <c r="L8" s="50"/>
      <c r="M8" s="50" t="s">
        <v>75</v>
      </c>
      <c r="N8" s="50">
        <v>1</v>
      </c>
      <c r="O8" s="50">
        <v>2</v>
      </c>
      <c r="P8" s="50">
        <v>3</v>
      </c>
      <c r="Q8" s="50">
        <v>0</v>
      </c>
      <c r="R8" s="50"/>
      <c r="S8" s="50"/>
      <c r="T8" s="111"/>
      <c r="U8" s="111"/>
    </row>
    <row r="9" spans="1:21" ht="10.9" customHeight="1" x14ac:dyDescent="0.25">
      <c r="E9" s="50"/>
      <c r="F9" s="103" t="s">
        <v>72</v>
      </c>
      <c r="K9" s="111"/>
      <c r="L9" s="50"/>
      <c r="M9" s="50"/>
      <c r="N9" s="50"/>
      <c r="O9" s="50"/>
      <c r="P9" s="50"/>
      <c r="Q9" s="50"/>
      <c r="R9" s="50"/>
      <c r="S9" s="50"/>
      <c r="T9" s="111"/>
      <c r="U9" s="111"/>
    </row>
    <row r="10" spans="1:21" ht="18" customHeight="1" x14ac:dyDescent="0.2">
      <c r="B10" s="127" t="s">
        <v>66</v>
      </c>
      <c r="C10" s="127"/>
      <c r="D10" s="100"/>
      <c r="E10" s="51"/>
      <c r="F10" s="104" t="s">
        <v>73</v>
      </c>
      <c r="K10" s="111"/>
      <c r="L10" s="50"/>
      <c r="M10" s="50"/>
      <c r="N10" s="50" t="s">
        <v>82</v>
      </c>
      <c r="O10" s="50" t="s">
        <v>100</v>
      </c>
      <c r="P10" s="50" t="s">
        <v>76</v>
      </c>
      <c r="Q10" s="50" t="s">
        <v>85</v>
      </c>
      <c r="R10" s="50"/>
      <c r="S10" s="50"/>
      <c r="T10" s="111"/>
      <c r="U10" s="111"/>
    </row>
    <row r="11" spans="1:21" ht="18" customHeight="1" x14ac:dyDescent="0.2">
      <c r="B11" s="127" t="s">
        <v>67</v>
      </c>
      <c r="C11" s="127"/>
      <c r="D11" s="100"/>
      <c r="E11" s="51"/>
      <c r="F11" s="104" t="s">
        <v>73</v>
      </c>
      <c r="K11" s="111"/>
      <c r="L11" s="50"/>
      <c r="M11" s="50" t="s">
        <v>79</v>
      </c>
      <c r="N11" s="50">
        <v>0</v>
      </c>
      <c r="O11" s="50">
        <v>10</v>
      </c>
      <c r="P11" s="50">
        <v>20</v>
      </c>
      <c r="Q11" s="50">
        <v>30</v>
      </c>
      <c r="R11" s="50"/>
      <c r="S11" s="50"/>
      <c r="T11" s="111"/>
      <c r="U11" s="111"/>
    </row>
    <row r="12" spans="1:21" ht="10.9" customHeight="1" x14ac:dyDescent="0.2">
      <c r="E12" s="111"/>
      <c r="F12" s="111"/>
      <c r="K12" s="111"/>
      <c r="L12" s="50"/>
      <c r="M12" s="50"/>
      <c r="N12" s="50"/>
      <c r="O12" s="50"/>
      <c r="P12" s="50"/>
      <c r="Q12" s="50"/>
      <c r="R12" s="50"/>
      <c r="S12" s="50"/>
      <c r="T12" s="111"/>
      <c r="U12" s="111"/>
    </row>
    <row r="13" spans="1:21" ht="8.4499999999999993" customHeight="1" x14ac:dyDescent="0.2">
      <c r="B13" s="47"/>
      <c r="C13" s="129" t="str">
        <f>IF(F10="Enhanced","Enhanced (Homeowner's)",IF(F10="Basic","Basic","(select here)"))</f>
        <v>Enhanced (Homeowner's)</v>
      </c>
      <c r="D13" s="129"/>
      <c r="E13" s="50">
        <f>IF(OR(E8=0,E8=3),0,IF(C13="Enhanced (Homeowner's)",10,IF(C13="Basic",20,30)))</f>
        <v>10</v>
      </c>
      <c r="F13" s="50">
        <f>IF(OR(E8=0,E8=1),0,IF(F11="Enhanced",100,IF(F11="Basic",200,300)))</f>
        <v>100</v>
      </c>
      <c r="K13" s="111"/>
      <c r="L13" s="50"/>
      <c r="M13" s="50"/>
      <c r="N13" s="50"/>
      <c r="O13" s="50"/>
      <c r="P13" s="50"/>
      <c r="Q13" s="50"/>
      <c r="R13" s="50"/>
      <c r="S13" s="50"/>
      <c r="T13" s="111"/>
      <c r="U13" s="111"/>
    </row>
    <row r="14" spans="1:21" ht="22.9" customHeight="1" thickBot="1" x14ac:dyDescent="0.3">
      <c r="B14" s="123" t="s">
        <v>46</v>
      </c>
      <c r="C14" s="123"/>
      <c r="D14" s="123"/>
      <c r="E14" s="52">
        <f>E8+E13</f>
        <v>12</v>
      </c>
      <c r="F14" s="105" t="s">
        <v>113</v>
      </c>
      <c r="G14" s="52">
        <f>E8+F13</f>
        <v>102</v>
      </c>
      <c r="K14" s="111"/>
      <c r="L14" s="50"/>
      <c r="M14" s="50" t="s">
        <v>80</v>
      </c>
      <c r="N14" s="50">
        <v>31</v>
      </c>
      <c r="O14" s="50">
        <v>32</v>
      </c>
      <c r="P14" s="50"/>
      <c r="Q14" s="50" t="s">
        <v>86</v>
      </c>
      <c r="R14" s="50"/>
      <c r="S14" s="50"/>
      <c r="T14" s="111"/>
      <c r="U14" s="111"/>
    </row>
    <row r="15" spans="1:21" ht="18" customHeight="1" x14ac:dyDescent="0.2">
      <c r="B15" s="97" t="s">
        <v>36</v>
      </c>
      <c r="C15" s="64" t="str">
        <f>IF(E13=10,"(Enhanced)",IF(E13=20,"(Basic)",""))</f>
        <v>(Enhanced)</v>
      </c>
      <c r="D15" s="98">
        <f>IF(E14=11,'R-Rates'!C28,IF(E14=21,'R-Rates'!C27,IF(E14=12,'R-Rates'!C9,IF(E14=22,'R-Rates'!C8,0))))</f>
        <v>0</v>
      </c>
      <c r="E15" s="50">
        <f>IF(OR(E14=31,E14=32),0,1)</f>
        <v>1</v>
      </c>
      <c r="F15" s="114" t="str">
        <f>IF(D15=0,"",ROUNDDOWN(D15*$E$29,2))</f>
        <v/>
      </c>
      <c r="G15" s="50">
        <f>IF(OR(G14=302,G14=303),0,1)</f>
        <v>1</v>
      </c>
      <c r="K15" s="111"/>
      <c r="L15" s="50"/>
      <c r="M15" s="50" t="s">
        <v>88</v>
      </c>
      <c r="N15" s="50">
        <v>0</v>
      </c>
      <c r="O15" s="50">
        <v>0</v>
      </c>
      <c r="P15" s="50"/>
      <c r="Q15" s="50">
        <v>1</v>
      </c>
      <c r="R15" s="50"/>
      <c r="S15" s="50"/>
      <c r="T15" s="111"/>
      <c r="U15" s="111"/>
    </row>
    <row r="16" spans="1:21" ht="18" customHeight="1" x14ac:dyDescent="0.2">
      <c r="B16" s="112" t="s">
        <v>2</v>
      </c>
      <c r="C16" s="106" t="str">
        <f>IF(F13=100,"(Enhanced)",IF(F13=200,"(Basic)",""))</f>
        <v>(Enhanced)</v>
      </c>
      <c r="D16" s="99">
        <f>IF(G14=102,'R-Rates'!C7,IF(G14=202,'R-Rates'!C6,IF(G14=203,'R-Rates'!C24,IF(G14=103,'R-Rates'!C26,0))))</f>
        <v>0</v>
      </c>
      <c r="E16" s="50"/>
      <c r="F16" s="114" t="str">
        <f>IF(D16=0,"",ROUNDDOWN(D16*$E$29,2))</f>
        <v/>
      </c>
      <c r="G16" s="50">
        <f>E14+G14</f>
        <v>114</v>
      </c>
      <c r="K16" s="111"/>
      <c r="L16" s="50"/>
      <c r="M16" s="50"/>
      <c r="N16" s="50" t="s">
        <v>83</v>
      </c>
      <c r="O16" s="50"/>
      <c r="P16" s="50"/>
      <c r="Q16" s="50" t="s">
        <v>84</v>
      </c>
      <c r="R16" s="50"/>
      <c r="S16" s="50"/>
      <c r="T16" s="111"/>
      <c r="U16" s="111"/>
    </row>
    <row r="17" spans="2:21" ht="19.5" thickBot="1" x14ac:dyDescent="0.25">
      <c r="B17" s="65"/>
      <c r="C17" s="63" t="s">
        <v>5</v>
      </c>
      <c r="D17" s="66">
        <f>SUM(D15:D16)</f>
        <v>0</v>
      </c>
      <c r="E17" s="111"/>
      <c r="F17" s="114" t="str">
        <f>IF(D17=0,"",SUM(F15:F16))</f>
        <v/>
      </c>
      <c r="K17" s="111"/>
      <c r="L17" s="50"/>
      <c r="M17" s="50"/>
      <c r="N17" s="50"/>
      <c r="O17" s="50"/>
      <c r="P17" s="50"/>
      <c r="Q17" s="50"/>
      <c r="R17" s="50"/>
      <c r="S17" s="50"/>
      <c r="T17" s="111"/>
      <c r="U17" s="111"/>
    </row>
    <row r="18" spans="2:21" ht="10.9" customHeight="1" x14ac:dyDescent="0.2">
      <c r="B18" s="17"/>
      <c r="C18" s="16"/>
      <c r="D18" s="15"/>
      <c r="F18" s="111"/>
      <c r="K18" s="111"/>
      <c r="L18" s="50"/>
      <c r="M18" s="50"/>
      <c r="N18" s="50"/>
      <c r="O18" s="50"/>
      <c r="P18" s="50"/>
      <c r="Q18" s="50"/>
      <c r="R18" s="50"/>
      <c r="S18" s="50"/>
      <c r="T18" s="111"/>
      <c r="U18" s="111"/>
    </row>
    <row r="19" spans="2:21" ht="16.5" thickBot="1" x14ac:dyDescent="0.25">
      <c r="B19" s="124" t="s">
        <v>47</v>
      </c>
      <c r="C19" s="124"/>
      <c r="D19" s="124"/>
      <c r="E19" s="107"/>
      <c r="F19" s="95"/>
      <c r="K19" s="111"/>
      <c r="L19" s="50"/>
      <c r="M19" s="50"/>
      <c r="N19" s="50" t="s">
        <v>81</v>
      </c>
      <c r="O19" s="50" t="s">
        <v>103</v>
      </c>
      <c r="P19" s="50" t="s">
        <v>78</v>
      </c>
      <c r="Q19" s="50" t="s">
        <v>85</v>
      </c>
      <c r="R19" s="50"/>
      <c r="S19" s="50"/>
      <c r="T19" s="111"/>
      <c r="U19" s="111"/>
    </row>
    <row r="20" spans="2:21" ht="18" customHeight="1" x14ac:dyDescent="0.2">
      <c r="B20" s="97" t="s">
        <v>36</v>
      </c>
      <c r="C20" s="64" t="str">
        <f>IF(E13=10,"(Enhanced)",IF(E13=20,"(Basic)",""))</f>
        <v>(Enhanced)</v>
      </c>
      <c r="D20" s="98">
        <f>IF(G16=214,'R-Rates'!C15,IF(G16=224,'R-Rates'!C14,IF(G16=124,'R-Rates'!C16,IF(G16=114,'R-Rates'!C17,0))))</f>
        <v>0</v>
      </c>
      <c r="F20" s="114">
        <f>ROUNDDOWN(D20*$E$29,2)</f>
        <v>0</v>
      </c>
      <c r="K20" s="111"/>
      <c r="L20" s="50"/>
      <c r="M20" s="50" t="s">
        <v>87</v>
      </c>
      <c r="N20" s="50">
        <v>0</v>
      </c>
      <c r="O20" s="50">
        <v>100</v>
      </c>
      <c r="P20" s="50">
        <v>200</v>
      </c>
      <c r="Q20" s="50">
        <v>300</v>
      </c>
      <c r="R20" s="50"/>
      <c r="S20" s="50"/>
      <c r="T20" s="111"/>
      <c r="U20" s="111"/>
    </row>
    <row r="21" spans="2:21" ht="18" customHeight="1" x14ac:dyDescent="0.2">
      <c r="B21" s="112" t="s">
        <v>2</v>
      </c>
      <c r="C21" s="105" t="str">
        <f>IF(F13=100,"(Enhanced)",IF(F13=200,"(Basic)",""))</f>
        <v>(Enhanced)</v>
      </c>
      <c r="D21" s="99">
        <f>IF(G14=102,'R-Rates'!C13,IF(G14=202,'R-Rates'!C12,0))</f>
        <v>0</v>
      </c>
      <c r="F21" s="114">
        <f>ROUNDDOWN(D21*$E$29,2)</f>
        <v>0</v>
      </c>
      <c r="K21" s="111"/>
      <c r="L21" s="50"/>
      <c r="M21" s="50"/>
      <c r="N21" s="50"/>
      <c r="O21" s="50"/>
      <c r="P21" s="50"/>
      <c r="Q21" s="50"/>
      <c r="R21" s="50"/>
      <c r="S21" s="50"/>
      <c r="T21" s="111"/>
      <c r="U21" s="111"/>
    </row>
    <row r="22" spans="2:21" ht="18.75" x14ac:dyDescent="0.2">
      <c r="B22" s="59"/>
      <c r="C22" s="60" t="s">
        <v>5</v>
      </c>
      <c r="D22" s="67">
        <f>SUM(D20:D21)</f>
        <v>0</v>
      </c>
      <c r="F22" s="114">
        <f>SUM(F20:F21)</f>
        <v>0</v>
      </c>
      <c r="K22" s="111"/>
      <c r="L22" s="50"/>
      <c r="M22" s="50" t="s">
        <v>108</v>
      </c>
      <c r="N22" s="50">
        <v>302</v>
      </c>
      <c r="O22" s="50">
        <v>303</v>
      </c>
      <c r="P22" s="50"/>
      <c r="Q22" s="50" t="s">
        <v>86</v>
      </c>
      <c r="R22" s="50"/>
      <c r="S22" s="50"/>
      <c r="T22" s="111"/>
      <c r="U22" s="111"/>
    </row>
    <row r="23" spans="2:21" ht="6.6" customHeight="1" x14ac:dyDescent="0.2">
      <c r="B23" s="61"/>
      <c r="D23" s="58"/>
      <c r="F23" s="111"/>
      <c r="K23" s="111"/>
      <c r="L23" s="50"/>
      <c r="M23" s="50"/>
      <c r="N23" s="50" t="s">
        <v>89</v>
      </c>
      <c r="O23" s="50"/>
      <c r="P23" s="50"/>
      <c r="Q23" s="50" t="s">
        <v>90</v>
      </c>
      <c r="R23" s="50"/>
      <c r="S23" s="50"/>
      <c r="T23" s="111"/>
      <c r="U23" s="111"/>
    </row>
    <row r="24" spans="2:21" ht="16.5" thickBot="1" x14ac:dyDescent="0.25">
      <c r="B24" s="62"/>
      <c r="C24" s="63" t="s">
        <v>37</v>
      </c>
      <c r="D24" s="68">
        <f>IF(OR(E14=12,E14=22),D15-D20,"")</f>
        <v>0</v>
      </c>
      <c r="F24" s="111"/>
      <c r="K24" s="111"/>
      <c r="L24" s="50"/>
      <c r="M24" s="50" t="s">
        <v>106</v>
      </c>
      <c r="N24" s="50">
        <v>0</v>
      </c>
      <c r="O24" s="50">
        <v>0</v>
      </c>
      <c r="P24" s="50"/>
      <c r="Q24" s="50">
        <v>1</v>
      </c>
      <c r="R24" s="50"/>
      <c r="S24" s="50"/>
      <c r="T24" s="111"/>
      <c r="U24" s="111"/>
    </row>
    <row r="25" spans="2:21" x14ac:dyDescent="0.2">
      <c r="K25" s="111"/>
      <c r="L25" s="50"/>
      <c r="M25" s="50"/>
      <c r="N25" s="50"/>
      <c r="O25" s="50"/>
      <c r="P25" s="50"/>
      <c r="Q25" s="50"/>
      <c r="R25" s="50"/>
      <c r="S25" s="50"/>
      <c r="T25" s="111"/>
      <c r="U25" s="111"/>
    </row>
    <row r="26" spans="2:21" x14ac:dyDescent="0.2">
      <c r="K26" s="111"/>
      <c r="L26" s="50"/>
      <c r="M26" s="50"/>
      <c r="N26" s="50"/>
      <c r="O26" s="50"/>
      <c r="P26" s="50"/>
      <c r="Q26" s="50"/>
      <c r="R26" s="50"/>
      <c r="S26" s="50"/>
      <c r="T26" s="111"/>
      <c r="U26" s="111"/>
    </row>
    <row r="27" spans="2:21" x14ac:dyDescent="0.2">
      <c r="D27" s="115" t="s">
        <v>110</v>
      </c>
      <c r="E27" s="116" t="s">
        <v>71</v>
      </c>
      <c r="F27" s="50">
        <f>IF(AND($E$27="Yes",$E$29&gt;0,OR(AND($E$8=1,$D$10&gt;0,$E$15=1),AND($E$8=2,$D$10&gt;0,$D$11&gt;0,AND($E$15=1,$G$15=1)),AND($E$8=3,$D$11&gt;0,$G$15=1))),1,0)</f>
        <v>0</v>
      </c>
      <c r="K27" s="111"/>
      <c r="L27" s="50"/>
      <c r="M27" s="50"/>
      <c r="N27" s="50"/>
      <c r="O27" s="50"/>
      <c r="P27" s="50"/>
      <c r="Q27" s="50"/>
      <c r="R27" s="50"/>
      <c r="S27" s="50"/>
      <c r="T27" s="111"/>
      <c r="U27" s="111"/>
    </row>
    <row r="28" spans="2:21" x14ac:dyDescent="0.2">
      <c r="C28" s="102"/>
      <c r="D28" s="113" t="s">
        <v>111</v>
      </c>
      <c r="E28" s="117"/>
      <c r="F28" s="50"/>
      <c r="K28" s="111"/>
      <c r="L28" s="50"/>
      <c r="M28" s="50" t="s">
        <v>99</v>
      </c>
      <c r="N28" s="50">
        <v>11</v>
      </c>
      <c r="O28" s="50">
        <v>21</v>
      </c>
      <c r="P28" s="50">
        <v>12</v>
      </c>
      <c r="Q28" s="50">
        <v>22</v>
      </c>
      <c r="R28" s="50"/>
      <c r="S28" s="50"/>
      <c r="T28" s="111"/>
      <c r="U28" s="111"/>
    </row>
    <row r="29" spans="2:21" x14ac:dyDescent="0.2">
      <c r="C29" s="102"/>
      <c r="D29" s="113" t="s">
        <v>112</v>
      </c>
      <c r="E29" s="118">
        <f>IF(E28=0,0,1-E28)</f>
        <v>0</v>
      </c>
      <c r="F29" s="50"/>
      <c r="K29" s="111"/>
      <c r="L29" s="50"/>
      <c r="M29" s="50"/>
      <c r="N29" s="50" t="s">
        <v>100</v>
      </c>
      <c r="O29" s="50" t="s">
        <v>76</v>
      </c>
      <c r="P29" s="50" t="s">
        <v>101</v>
      </c>
      <c r="Q29" s="50" t="s">
        <v>102</v>
      </c>
      <c r="R29" s="50"/>
      <c r="S29" s="50"/>
      <c r="T29" s="111"/>
      <c r="U29" s="111"/>
    </row>
    <row r="30" spans="2:21" x14ac:dyDescent="0.2">
      <c r="K30" s="111"/>
      <c r="L30" s="50"/>
      <c r="M30" s="50"/>
      <c r="N30" s="50"/>
      <c r="O30" s="50"/>
      <c r="P30" s="50"/>
      <c r="Q30" s="50"/>
      <c r="R30" s="50"/>
      <c r="S30" s="50"/>
      <c r="T30" s="111"/>
      <c r="U30" s="111"/>
    </row>
    <row r="31" spans="2:21" x14ac:dyDescent="0.2">
      <c r="K31" s="111"/>
      <c r="L31" s="50"/>
      <c r="M31" s="50"/>
      <c r="N31" s="50"/>
      <c r="O31" s="50"/>
      <c r="P31" s="50"/>
      <c r="Q31" s="50"/>
      <c r="R31" s="50"/>
      <c r="S31" s="50"/>
      <c r="T31" s="111"/>
      <c r="U31" s="111"/>
    </row>
    <row r="32" spans="2:21" x14ac:dyDescent="0.2">
      <c r="K32" s="111"/>
      <c r="L32" s="50"/>
      <c r="M32" s="50" t="s">
        <v>107</v>
      </c>
      <c r="N32" s="50">
        <v>224</v>
      </c>
      <c r="O32" s="50">
        <v>214</v>
      </c>
      <c r="P32" s="50">
        <v>124</v>
      </c>
      <c r="Q32" s="50">
        <v>114</v>
      </c>
      <c r="R32" s="50"/>
      <c r="S32" s="50"/>
      <c r="T32" s="111"/>
      <c r="U32" s="111"/>
    </row>
    <row r="33" spans="11:21" x14ac:dyDescent="0.2">
      <c r="K33" s="111"/>
      <c r="L33" s="50"/>
      <c r="M33" s="50"/>
      <c r="N33" s="50" t="s">
        <v>102</v>
      </c>
      <c r="O33" s="50" t="s">
        <v>101</v>
      </c>
      <c r="P33" s="50" t="s">
        <v>104</v>
      </c>
      <c r="Q33" s="50" t="s">
        <v>105</v>
      </c>
      <c r="R33" s="50"/>
      <c r="S33" s="50"/>
      <c r="T33" s="111"/>
      <c r="U33" s="111"/>
    </row>
    <row r="34" spans="11:21" x14ac:dyDescent="0.2">
      <c r="K34" s="111"/>
      <c r="L34" s="50"/>
      <c r="M34" s="50"/>
      <c r="N34" s="50"/>
      <c r="O34" s="50"/>
      <c r="P34" s="50"/>
      <c r="Q34" s="50"/>
      <c r="R34" s="50"/>
      <c r="S34" s="50"/>
      <c r="T34" s="111"/>
      <c r="U34" s="111"/>
    </row>
    <row r="35" spans="11:21" x14ac:dyDescent="0.2">
      <c r="L35" s="111"/>
      <c r="M35" s="111"/>
      <c r="N35" s="111"/>
      <c r="O35" s="111"/>
      <c r="P35" s="111"/>
      <c r="Q35" s="111"/>
      <c r="R35" s="111"/>
      <c r="S35" s="111"/>
    </row>
    <row r="36" spans="11:21" x14ac:dyDescent="0.2">
      <c r="L36" s="111"/>
      <c r="M36" s="111"/>
      <c r="N36" s="111"/>
      <c r="O36" s="111"/>
      <c r="P36" s="111"/>
      <c r="Q36" s="111"/>
      <c r="R36" s="111"/>
      <c r="S36" s="111"/>
    </row>
    <row r="37" spans="11:21" x14ac:dyDescent="0.2">
      <c r="L37" s="111"/>
      <c r="M37" s="111"/>
      <c r="N37" s="111"/>
      <c r="O37" s="111"/>
      <c r="P37" s="111"/>
      <c r="Q37" s="111"/>
      <c r="R37" s="111"/>
      <c r="S37" s="111"/>
    </row>
    <row r="38" spans="11:21" x14ac:dyDescent="0.2">
      <c r="L38" s="111"/>
      <c r="M38" s="111"/>
      <c r="N38" s="111"/>
      <c r="O38" s="111"/>
      <c r="P38" s="111"/>
      <c r="Q38" s="111"/>
      <c r="R38" s="111"/>
      <c r="S38" s="111"/>
    </row>
    <row r="39" spans="11:21" x14ac:dyDescent="0.2">
      <c r="L39" s="111"/>
      <c r="M39" s="111"/>
      <c r="N39" s="111"/>
      <c r="O39" s="111"/>
      <c r="P39" s="111"/>
      <c r="Q39" s="111"/>
      <c r="R39" s="111"/>
      <c r="S39" s="111"/>
    </row>
    <row r="40" spans="11:21" x14ac:dyDescent="0.2">
      <c r="L40" s="111"/>
      <c r="M40" s="111"/>
      <c r="N40" s="111"/>
      <c r="O40" s="111"/>
      <c r="P40" s="111"/>
      <c r="Q40" s="111"/>
      <c r="R40" s="111"/>
      <c r="S40" s="111"/>
    </row>
    <row r="41" spans="11:21" x14ac:dyDescent="0.2">
      <c r="L41" s="111"/>
      <c r="M41" s="111"/>
      <c r="N41" s="111"/>
      <c r="O41" s="111"/>
      <c r="P41" s="111"/>
      <c r="Q41" s="111"/>
      <c r="R41" s="111"/>
      <c r="S41" s="111"/>
    </row>
    <row r="42" spans="11:21" x14ac:dyDescent="0.2">
      <c r="L42" s="111"/>
      <c r="M42" s="111"/>
      <c r="N42" s="111"/>
      <c r="O42" s="111"/>
      <c r="P42" s="111"/>
      <c r="Q42" s="111"/>
      <c r="R42" s="111"/>
      <c r="S42" s="111"/>
    </row>
    <row r="43" spans="11:21" x14ac:dyDescent="0.2">
      <c r="L43" s="111"/>
      <c r="M43" s="111"/>
      <c r="N43" s="111"/>
      <c r="O43" s="111"/>
      <c r="P43" s="111"/>
      <c r="Q43" s="111"/>
      <c r="R43" s="111"/>
      <c r="S43" s="111"/>
    </row>
    <row r="44" spans="11:21" x14ac:dyDescent="0.2">
      <c r="L44" s="111"/>
      <c r="M44" s="111"/>
      <c r="N44" s="111"/>
      <c r="O44" s="111"/>
      <c r="P44" s="111"/>
      <c r="Q44" s="111"/>
      <c r="R44" s="111"/>
      <c r="S44" s="111"/>
    </row>
    <row r="45" spans="11:21" x14ac:dyDescent="0.2">
      <c r="L45" s="111"/>
      <c r="M45" s="111"/>
      <c r="N45" s="111"/>
      <c r="O45" s="111"/>
      <c r="P45" s="111"/>
      <c r="Q45" s="111"/>
      <c r="R45" s="111"/>
      <c r="S45" s="111"/>
    </row>
    <row r="46" spans="11:21" x14ac:dyDescent="0.2">
      <c r="L46" s="111"/>
      <c r="M46" s="111"/>
      <c r="N46" s="111"/>
      <c r="O46" s="111"/>
      <c r="P46" s="111"/>
      <c r="Q46" s="111"/>
      <c r="R46" s="111"/>
      <c r="S46" s="111"/>
    </row>
    <row r="47" spans="11:21" x14ac:dyDescent="0.2">
      <c r="L47" s="111"/>
      <c r="M47" s="111"/>
      <c r="N47" s="111"/>
      <c r="O47" s="111"/>
      <c r="P47" s="111"/>
      <c r="Q47" s="111"/>
      <c r="R47" s="111"/>
      <c r="S47" s="111"/>
    </row>
    <row r="48" spans="11:21" x14ac:dyDescent="0.2">
      <c r="L48" s="111"/>
      <c r="M48" s="111"/>
      <c r="N48" s="111"/>
      <c r="O48" s="111"/>
      <c r="P48" s="111"/>
      <c r="Q48" s="111"/>
      <c r="R48" s="111"/>
      <c r="S48" s="111"/>
    </row>
  </sheetData>
  <sheetProtection algorithmName="SHA-512" hashValue="IH1GrWQtVUkQi0I5O2DILT4kcOX8CjwmBbrMEGFem4rpdmS9ePR++rxfMfRJ39j51hRESCzJyohpDE0UtI6oJg==" saltValue="e/2aKQB0DHWNqX21rOabew==" spinCount="100000" sheet="1" objects="1" selectLockedCells="1"/>
  <mergeCells count="8">
    <mergeCell ref="B14:D14"/>
    <mergeCell ref="B19:D19"/>
    <mergeCell ref="A6:F6"/>
    <mergeCell ref="A5:E5"/>
    <mergeCell ref="B10:C10"/>
    <mergeCell ref="B11:C11"/>
    <mergeCell ref="C8:D8"/>
    <mergeCell ref="C13:D13"/>
  </mergeCells>
  <conditionalFormatting sqref="B10 D10">
    <cfRule type="expression" dxfId="58" priority="59">
      <formula>OR($E$8=1,$E$8=2)</formula>
    </cfRule>
  </conditionalFormatting>
  <conditionalFormatting sqref="B11 D11">
    <cfRule type="expression" dxfId="57" priority="58">
      <formula>OR($E$8=2,$E$8=3)</formula>
    </cfRule>
  </conditionalFormatting>
  <conditionalFormatting sqref="B19 B20:D24">
    <cfRule type="expression" dxfId="56" priority="84">
      <formula>AND(OR($G$16=224,$G$16=214,$G$16=124,$G$16=114),$D$10&gt;0,$D$11&gt;0)</formula>
    </cfRule>
  </conditionalFormatting>
  <conditionalFormatting sqref="B14:D16">
    <cfRule type="expression" dxfId="55" priority="77">
      <formula>AND(OR($G$16=224,$G$16=214,$G$16=124,$G$16=114),$D$10&gt;0,$D$11&gt;0)</formula>
    </cfRule>
  </conditionalFormatting>
  <conditionalFormatting sqref="B15:D15">
    <cfRule type="expression" dxfId="54" priority="76">
      <formula>AND(OR($G$16=12,$G$16=22),$D$10&gt;0)</formula>
    </cfRule>
  </conditionalFormatting>
  <conditionalFormatting sqref="B15:D17">
    <cfRule type="expression" dxfId="53" priority="74">
      <formula>OR($E$8&lt;&gt;2,OR($E$15=0,$G$15=0),$D$10=0,$D$11=0)</formula>
    </cfRule>
  </conditionalFormatting>
  <conditionalFormatting sqref="B16:D16">
    <cfRule type="expression" dxfId="52" priority="78">
      <formula>AND(OR($G$16=106,$G$16=206),$D$11&gt;0)</formula>
    </cfRule>
  </conditionalFormatting>
  <conditionalFormatting sqref="B20:D24">
    <cfRule type="expression" dxfId="51" priority="75">
      <formula>OR($E$8&lt;&gt;2,$E$15=0,$G$15=0,$D$10=0,$D$11=0)</formula>
    </cfRule>
  </conditionalFormatting>
  <conditionalFormatting sqref="C8:D8">
    <cfRule type="expression" dxfId="50" priority="63">
      <formula>$E$8=0</formula>
    </cfRule>
  </conditionalFormatting>
  <conditionalFormatting sqref="C17:D17">
    <cfRule type="expression" dxfId="49" priority="80">
      <formula>AND(OR($G$16=224,$G$16=214,$G$16=124,$G$16=114),$D$10&gt;0,$D$11&gt;0)</formula>
    </cfRule>
  </conditionalFormatting>
  <conditionalFormatting sqref="D10">
    <cfRule type="expression" dxfId="48" priority="62">
      <formula>AND(OR($E$8=1,$E$8=2),$D$10="")</formula>
    </cfRule>
    <cfRule type="expression" dxfId="47" priority="61">
      <formula>AND($E$8=1,$D$10&gt;0)</formula>
    </cfRule>
    <cfRule type="expression" dxfId="46" priority="57">
      <formula>AND(OR($E$8=1,$E$8=2),$D$10&gt;0)</formula>
    </cfRule>
  </conditionalFormatting>
  <conditionalFormatting sqref="D11">
    <cfRule type="expression" dxfId="45" priority="60">
      <formula>AND(OR($E$8=2,$E$8=3),$D$11="")</formula>
    </cfRule>
    <cfRule type="expression" dxfId="44" priority="56">
      <formula>AND(OR($E$8=2,$E$8=3),$D$11&gt;0)</formula>
    </cfRule>
  </conditionalFormatting>
  <conditionalFormatting sqref="D22 D17">
    <cfRule type="expression" dxfId="43" priority="82">
      <formula>AND(OR($G$16=224,$G$16=214,$G$16=124,$G$16=114),$D$10&gt;0,$D$11&gt;0)</formula>
    </cfRule>
  </conditionalFormatting>
  <conditionalFormatting sqref="D28:F28 D29 F29">
    <cfRule type="expression" dxfId="42" priority="25">
      <formula>$E$27="Yes"</formula>
    </cfRule>
  </conditionalFormatting>
  <conditionalFormatting sqref="E27">
    <cfRule type="expression" dxfId="41" priority="26">
      <formula>$E$27=0</formula>
    </cfRule>
  </conditionalFormatting>
  <conditionalFormatting sqref="E28">
    <cfRule type="expression" dxfId="40" priority="23">
      <formula>AND($E$27="Yes",$E$28=0)</formula>
    </cfRule>
    <cfRule type="expression" dxfId="39" priority="24">
      <formula>OR($E$27="No",$E$27=0)</formula>
    </cfRule>
  </conditionalFormatting>
  <conditionalFormatting sqref="E29">
    <cfRule type="expression" dxfId="38" priority="14">
      <formula>AND($E$27="Yes",$E$29&gt;0)</formula>
    </cfRule>
  </conditionalFormatting>
  <conditionalFormatting sqref="F9">
    <cfRule type="expression" dxfId="37" priority="36">
      <formula>$E$8=0</formula>
    </cfRule>
  </conditionalFormatting>
  <conditionalFormatting sqref="F10">
    <cfRule type="expression" dxfId="36" priority="34">
      <formula>AND(OR($E$8=1,$E$8=2),$F$10&gt;0)</formula>
    </cfRule>
    <cfRule type="expression" dxfId="35" priority="35">
      <formula>OR($E$8=1,$E$8=2)</formula>
    </cfRule>
    <cfRule type="expression" dxfId="34" priority="33">
      <formula>AND(OR($E$8=1,$E$8=2),OR($F$10="",$F$10="(select)"))</formula>
    </cfRule>
  </conditionalFormatting>
  <conditionalFormatting sqref="F11">
    <cfRule type="expression" dxfId="33" priority="31">
      <formula>AND(OR($E$8=2,$E$8=3),$F$11&gt;0)</formula>
    </cfRule>
    <cfRule type="expression" dxfId="32" priority="30">
      <formula>OR($E$8=2,$E$8=3)</formula>
    </cfRule>
    <cfRule type="expression" dxfId="31" priority="29">
      <formula>AND(OR($E$8=2,$E$8=3),OR($F$11="",$F$11="(select)"))</formula>
    </cfRule>
  </conditionalFormatting>
  <conditionalFormatting sqref="F14">
    <cfRule type="expression" dxfId="30" priority="1">
      <formula>$F$27=1</formula>
    </cfRule>
  </conditionalFormatting>
  <conditionalFormatting sqref="F15">
    <cfRule type="expression" dxfId="29" priority="11">
      <formula>AND($E$27="Yes",$E$29&gt;0,OR($G$16=12,$G$16=22),$D$10&gt;0)</formula>
    </cfRule>
  </conditionalFormatting>
  <conditionalFormatting sqref="F15:F17">
    <cfRule type="expression" dxfId="28" priority="7">
      <formula>AND($E$27="Yes",$E$29&gt;0,OR($G$16=224,$G$16=214,$G$16=124,$G$16=114),$D$10&gt;0,$D$11&gt;0)</formula>
    </cfRule>
  </conditionalFormatting>
  <conditionalFormatting sqref="F16">
    <cfRule type="expression" dxfId="27" priority="9">
      <formula>AND($E$27="Yes",$E$29&gt;0,OR($G$16=106,$G$16=206),$D$11&gt;0)</formula>
    </cfRule>
  </conditionalFormatting>
  <conditionalFormatting sqref="F17">
    <cfRule type="expression" dxfId="26" priority="6">
      <formula>AND($E$27="Yes",$E$29&gt;0,OR($G$16=224,$G$16=214,$G$16=124,$G$16=114),$D$10&gt;0,$D$11&gt;0)</formula>
    </cfRule>
  </conditionalFormatting>
  <conditionalFormatting sqref="F20:F22">
    <cfRule type="expression" dxfId="25" priority="2">
      <formula>AND($E$27="Yes",$E$29&gt;0,OR($G$16=224,$G$16=214,$G$16=124,$G$16=114),$D$10&gt;0,$D$11&gt;0)</formula>
    </cfRule>
  </conditionalFormatting>
  <conditionalFormatting sqref="F22">
    <cfRule type="expression" dxfId="24" priority="3">
      <formula>AND($E$27="Yes",$E$29&gt;0,OR($G$16=224,$G$16=214,$G$16=124,$G$16=114),$D$10&gt;0,$D$11&gt;0)</formula>
    </cfRule>
  </conditionalFormatting>
  <dataValidations count="5">
    <dataValidation type="decimal" allowBlank="1" showInputMessage="1" showErrorMessage="1" error="Either you have entered a negative # or a # over $100M.  If you have entered a negative #, please click &quot;Cancel&quot; and then enter a positive #.  If you have entered a # over $100M, please contact an underwriter for a quote." sqref="D10:E11" xr:uid="{00000000-0002-0000-0000-000000000000}">
      <formula1>0</formula1>
      <formula2>100000000</formula2>
    </dataValidation>
    <dataValidation type="list" allowBlank="1" showInputMessage="1" showErrorMessage="1" sqref="C8:D8" xr:uid="{00000000-0002-0000-0000-000001000000}">
      <formula1>Transactions</formula1>
    </dataValidation>
    <dataValidation type="list" allowBlank="1" showInputMessage="1" showErrorMessage="1" error="Either you have entered a negative # or a # over $100M.  If you have entered a negative #, please click &quot;Cancel&quot; and then enter a positive #.  If you have entered a # over $100M, please contact an underwriter for a quote." sqref="F11" xr:uid="{982C50E0-7650-48F9-BE61-31EFFCE0D5F4}">
      <formula1>PolicyType</formula1>
    </dataValidation>
    <dataValidation type="list" showInputMessage="1" showErrorMessage="1" error="Either you have entered a negative # or a # over $100M.  If you have entered a negative #, please click &quot;Cancel&quot; and then enter a positive #.  If you have entered a # over $100M, please contact an underwriter for a quote." sqref="F10" xr:uid="{8DB61C04-8C15-47F1-B42D-BB633BAACAE8}">
      <formula1>PolicyType</formula1>
    </dataValidation>
    <dataValidation type="list" showInputMessage="1" showErrorMessage="1" sqref="E27" xr:uid="{B65E4E32-EEE6-47A6-8355-9701AECE45F6}">
      <formula1>Remit</formula1>
    </dataValidation>
  </dataValidations>
  <printOptions horizontalCentered="1"/>
  <pageMargins left="0.4" right="0.4" top="0.75" bottom="0.5" header="0.5" footer="0.3"/>
  <pageSetup orientation="portrait" r:id="rId1"/>
  <headerFooter>
    <oddHeader>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29"/>
  <sheetViews>
    <sheetView showGridLines="0" showRowColHeaders="0" zoomScaleNormal="100" workbookViewId="0">
      <selection activeCell="C8" sqref="C8:D8"/>
    </sheetView>
  </sheetViews>
  <sheetFormatPr defaultColWidth="9.140625" defaultRowHeight="15.75" x14ac:dyDescent="0.2"/>
  <cols>
    <col min="1" max="1" width="3.7109375" style="14" customWidth="1"/>
    <col min="2" max="2" width="15.85546875" style="14" customWidth="1"/>
    <col min="3" max="3" width="9.85546875" style="14" customWidth="1"/>
    <col min="4" max="4" width="19.85546875" style="14" customWidth="1"/>
    <col min="5" max="5" width="4" style="14" customWidth="1"/>
    <col min="6" max="6" width="11" style="14" customWidth="1"/>
    <col min="7" max="7" width="27.7109375" style="14" customWidth="1"/>
    <col min="8" max="8" width="5.42578125" style="14" customWidth="1"/>
    <col min="9" max="9" width="60.140625" style="14" customWidth="1"/>
    <col min="10" max="16384" width="9.140625" style="14"/>
  </cols>
  <sheetData>
    <row r="1" spans="1:9" ht="50.45" customHeight="1" x14ac:dyDescent="0.2">
      <c r="I1" s="122"/>
    </row>
    <row r="2" spans="1:9" ht="15.6" customHeight="1" x14ac:dyDescent="0.2"/>
    <row r="5" spans="1:9" ht="10.9" customHeight="1" x14ac:dyDescent="0.2">
      <c r="A5" s="126"/>
      <c r="B5" s="126"/>
      <c r="C5" s="126"/>
      <c r="D5" s="126"/>
      <c r="E5" s="126"/>
      <c r="F5" s="94"/>
    </row>
    <row r="6" spans="1:9" ht="18" customHeight="1" x14ac:dyDescent="0.2">
      <c r="A6" s="125" t="str">
        <f>"Effective "&amp;'C-Tables'!G2</f>
        <v>Effective March 1, 2022</v>
      </c>
      <c r="B6" s="125"/>
      <c r="C6" s="125"/>
      <c r="D6" s="125"/>
      <c r="E6" s="125"/>
      <c r="F6" s="125"/>
      <c r="G6" s="119"/>
    </row>
    <row r="7" spans="1:9" ht="10.9" customHeight="1" x14ac:dyDescent="0.2"/>
    <row r="8" spans="1:9" ht="18" customHeight="1" x14ac:dyDescent="0.2">
      <c r="B8" s="46" t="s">
        <v>58</v>
      </c>
      <c r="C8" s="128" t="s">
        <v>33</v>
      </c>
      <c r="D8" s="128"/>
      <c r="E8" s="50">
        <f>IF(C8="Single Issue (OTP only or LTP only)",1,IF(C8="Simultaneous Issue (OTP &amp; LTP)",2,0))</f>
        <v>0</v>
      </c>
      <c r="F8" s="50"/>
    </row>
    <row r="9" spans="1:9" ht="10.9" customHeight="1" x14ac:dyDescent="0.2">
      <c r="E9" s="50"/>
      <c r="F9" s="50"/>
    </row>
    <row r="10" spans="1:9" ht="18" customHeight="1" x14ac:dyDescent="0.2">
      <c r="B10" s="131" t="str">
        <f>IF(E8=1,"Policy Amount","Sales Price (OTP)")</f>
        <v>Sales Price (OTP)</v>
      </c>
      <c r="C10" s="131"/>
      <c r="D10" s="100"/>
      <c r="E10" s="51"/>
      <c r="F10" s="51"/>
    </row>
    <row r="11" spans="1:9" ht="18" customHeight="1" x14ac:dyDescent="0.2">
      <c r="B11" s="131" t="s">
        <v>68</v>
      </c>
      <c r="C11" s="131"/>
      <c r="D11" s="100"/>
      <c r="E11" s="51"/>
      <c r="F11" s="51"/>
    </row>
    <row r="12" spans="1:9" ht="10.9" customHeight="1" x14ac:dyDescent="0.2">
      <c r="E12" s="50"/>
      <c r="F12" s="50"/>
    </row>
    <row r="13" spans="1:9" ht="18" customHeight="1" x14ac:dyDescent="0.2">
      <c r="B13" s="47" t="s">
        <v>40</v>
      </c>
      <c r="C13" s="129" t="s">
        <v>30</v>
      </c>
      <c r="D13" s="129"/>
      <c r="E13" s="50"/>
      <c r="F13" s="50"/>
    </row>
    <row r="14" spans="1:9" ht="22.9" customHeight="1" thickBot="1" x14ac:dyDescent="0.3">
      <c r="B14" s="123" t="s">
        <v>59</v>
      </c>
      <c r="C14" s="123"/>
      <c r="D14" s="123"/>
      <c r="E14" s="52">
        <f>E8+E13</f>
        <v>0</v>
      </c>
      <c r="F14" s="105" t="s">
        <v>113</v>
      </c>
    </row>
    <row r="15" spans="1:9" ht="18" customHeight="1" x14ac:dyDescent="0.2">
      <c r="B15" s="133" t="str">
        <f>IF(E8=1,"Premium","Owner's Policy")</f>
        <v>Owner's Policy</v>
      </c>
      <c r="C15" s="134"/>
      <c r="D15" s="98">
        <f>IF(AND(E8=1,D10&gt;0),'C-Tables'!D20,IF(AND(E8=2,D10&gt;0,D11&gt;0),'C-Tables'!D26,0))</f>
        <v>0</v>
      </c>
      <c r="F15" s="114" t="str">
        <f>IF(D15=0,"",ROUNDDOWN(D15*E29,2))</f>
        <v/>
      </c>
    </row>
    <row r="16" spans="1:9" ht="18" customHeight="1" x14ac:dyDescent="0.2">
      <c r="B16" s="130" t="s">
        <v>2</v>
      </c>
      <c r="C16" s="131"/>
      <c r="D16" s="99">
        <f>IF(AND(D10&gt;0,D11&gt;0,E8=2),'C-Tables'!E26,0)</f>
        <v>0</v>
      </c>
      <c r="E16" s="87"/>
      <c r="F16" s="114" t="str">
        <f>IF(D16=0,"",ROUNDDOWN(D16*E29,2))</f>
        <v/>
      </c>
    </row>
    <row r="17" spans="1:6" ht="19.5" thickBot="1" x14ac:dyDescent="0.25">
      <c r="B17" s="65"/>
      <c r="C17" s="63" t="s">
        <v>5</v>
      </c>
      <c r="D17" s="66">
        <f>SUM(D15:D16)</f>
        <v>0</v>
      </c>
      <c r="F17" s="114" t="str">
        <f>IF(D17=0,"",SUM(F15:F16))</f>
        <v/>
      </c>
    </row>
    <row r="18" spans="1:6" ht="10.9" customHeight="1" x14ac:dyDescent="0.2">
      <c r="B18" s="93"/>
      <c r="C18" s="16"/>
      <c r="D18" s="15"/>
    </row>
    <row r="19" spans="1:6" ht="15.6" customHeight="1" x14ac:dyDescent="0.2">
      <c r="A19" s="135" t="s">
        <v>62</v>
      </c>
      <c r="B19" s="135"/>
      <c r="C19" s="135"/>
      <c r="D19" s="135"/>
      <c r="E19" s="135"/>
      <c r="F19" s="135"/>
    </row>
    <row r="20" spans="1:6" ht="18" customHeight="1" x14ac:dyDescent="0.2">
      <c r="A20" s="135"/>
      <c r="B20" s="135"/>
      <c r="C20" s="135"/>
      <c r="D20" s="135"/>
      <c r="E20" s="135"/>
      <c r="F20" s="135"/>
    </row>
    <row r="21" spans="1:6" ht="18" customHeight="1" x14ac:dyDescent="0.2">
      <c r="B21" s="132"/>
      <c r="C21" s="132"/>
      <c r="D21" s="88"/>
    </row>
    <row r="22" spans="1:6" ht="18.75" x14ac:dyDescent="0.2">
      <c r="B22" s="89"/>
      <c r="C22" s="60"/>
      <c r="D22" s="90"/>
    </row>
    <row r="23" spans="1:6" ht="6.6" customHeight="1" x14ac:dyDescent="0.2"/>
    <row r="24" spans="1:6" x14ac:dyDescent="0.2">
      <c r="C24" s="60"/>
      <c r="D24" s="91"/>
    </row>
    <row r="27" spans="1:6" x14ac:dyDescent="0.2">
      <c r="D27" s="115" t="s">
        <v>110</v>
      </c>
      <c r="E27" s="116" t="s">
        <v>71</v>
      </c>
      <c r="F27" s="50">
        <f>IF(AND($E$27="Yes",$E$29&gt;0,OR(AND($E$8=1,$D$10&gt;0),AND($E$8=2,$D$10&gt;0,$D$11&gt;0),)),1,0)</f>
        <v>0</v>
      </c>
    </row>
    <row r="28" spans="1:6" x14ac:dyDescent="0.2">
      <c r="D28" s="113" t="s">
        <v>111</v>
      </c>
      <c r="E28" s="117"/>
    </row>
    <row r="29" spans="1:6" x14ac:dyDescent="0.2">
      <c r="D29" s="113" t="s">
        <v>112</v>
      </c>
      <c r="E29" s="118">
        <f>IF(E28=0,0,1-E28)</f>
        <v>0</v>
      </c>
    </row>
  </sheetData>
  <sheetProtection algorithmName="SHA-512" hashValue="gw4C9DzdJYhUZI8Oc91wEr3c21YrLs8pDjoZs+uzv2BPMPpk45lSIKnjzzhyN87wIZ+/aXt5At7qY1vjmIRagQ==" saltValue="l9M58OXt5JXdEI7WlWm/7g==" spinCount="100000" sheet="1" objects="1" selectLockedCells="1"/>
  <mergeCells count="11">
    <mergeCell ref="C13:D13"/>
    <mergeCell ref="A5:E5"/>
    <mergeCell ref="C8:D8"/>
    <mergeCell ref="B10:C10"/>
    <mergeCell ref="B11:C11"/>
    <mergeCell ref="A6:F6"/>
    <mergeCell ref="B14:D14"/>
    <mergeCell ref="B16:C16"/>
    <mergeCell ref="B21:C21"/>
    <mergeCell ref="B15:C15"/>
    <mergeCell ref="A19:F20"/>
  </mergeCells>
  <conditionalFormatting sqref="A19">
    <cfRule type="expression" dxfId="23" priority="11">
      <formula>$D$17&gt;0</formula>
    </cfRule>
  </conditionalFormatting>
  <conditionalFormatting sqref="B10 D10">
    <cfRule type="expression" dxfId="22" priority="26">
      <formula>OR($E$8=1,$E$8=2)</formula>
    </cfRule>
  </conditionalFormatting>
  <conditionalFormatting sqref="B11 D11">
    <cfRule type="expression" dxfId="21" priority="25">
      <formula>OR($E$8=2,$E$8=3)</formula>
    </cfRule>
  </conditionalFormatting>
  <conditionalFormatting sqref="B15 D15">
    <cfRule type="expression" dxfId="20" priority="20">
      <formula>OR(AND($E$8=1,$D$10&gt;0),AND($E$8=2,$D$10&gt;0,$D$11&gt;0))</formula>
    </cfRule>
  </conditionalFormatting>
  <conditionalFormatting sqref="B14:D14">
    <cfRule type="expression" dxfId="19" priority="14">
      <formula>AND($E$8=2,$D$10&gt;0,$D$11&gt;0)</formula>
    </cfRule>
  </conditionalFormatting>
  <conditionalFormatting sqref="B15:D17">
    <cfRule type="expression" dxfId="18" priority="13">
      <formula>OR(OR($E$8=1,$E$8=0),$D$10=0,$D$11=0)</formula>
    </cfRule>
  </conditionalFormatting>
  <conditionalFormatting sqref="B16:D16">
    <cfRule type="expression" dxfId="17" priority="19">
      <formula>AND($E$8=2,$D$10&gt;0,$D$11&gt;0)</formula>
    </cfRule>
  </conditionalFormatting>
  <conditionalFormatting sqref="C8:D8">
    <cfRule type="expression" dxfId="16" priority="30">
      <formula>$E$8=0</formula>
    </cfRule>
  </conditionalFormatting>
  <conditionalFormatting sqref="C17:D17">
    <cfRule type="expression" dxfId="15" priority="18">
      <formula>AND($E$8=2,$D$10&gt;0,$D$11&gt;0)</formula>
    </cfRule>
  </conditionalFormatting>
  <conditionalFormatting sqref="D10">
    <cfRule type="expression" dxfId="14" priority="24">
      <formula>AND(OR($E$8=1,$E$8=2),$D$10&gt;0)</formula>
    </cfRule>
    <cfRule type="expression" dxfId="13" priority="28">
      <formula>AND($E$8=1,$D$10&gt;0)</formula>
    </cfRule>
    <cfRule type="expression" dxfId="12" priority="29">
      <formula>AND(OR($E$8=1,$E$8=2),$D$10="")</formula>
    </cfRule>
  </conditionalFormatting>
  <conditionalFormatting sqref="D11">
    <cfRule type="expression" dxfId="11" priority="23">
      <formula>AND(OR($E$8=2,$E$8=3),$D$11&gt;0)</formula>
    </cfRule>
    <cfRule type="expression" dxfId="10" priority="27">
      <formula>AND(OR($E$8=2,$E$8=3),$D$11="")</formula>
    </cfRule>
  </conditionalFormatting>
  <conditionalFormatting sqref="D17">
    <cfRule type="expression" dxfId="9" priority="17">
      <formula>AND($E$8=2,$D$10&gt;0,$D$11&gt;0)</formula>
    </cfRule>
  </conditionalFormatting>
  <conditionalFormatting sqref="D28:E28 D29">
    <cfRule type="expression" dxfId="8" priority="9">
      <formula>$E$27="Yes"</formula>
    </cfRule>
  </conditionalFormatting>
  <conditionalFormatting sqref="E27">
    <cfRule type="expression" dxfId="7" priority="10">
      <formula>$E$27=0</formula>
    </cfRule>
  </conditionalFormatting>
  <conditionalFormatting sqref="E28">
    <cfRule type="expression" dxfId="6" priority="7">
      <formula>AND($E$27="Yes",$E$28=0)</formula>
    </cfRule>
    <cfRule type="expression" dxfId="5" priority="8">
      <formula>OR($E$27="No",$E$27=0)</formula>
    </cfRule>
  </conditionalFormatting>
  <conditionalFormatting sqref="E29">
    <cfRule type="expression" dxfId="4" priority="6">
      <formula>AND($E$27="Yes",$E$29&gt;0)</formula>
    </cfRule>
  </conditionalFormatting>
  <conditionalFormatting sqref="F14">
    <cfRule type="expression" dxfId="3" priority="1">
      <formula>$F$27=1</formula>
    </cfRule>
  </conditionalFormatting>
  <conditionalFormatting sqref="F15">
    <cfRule type="expression" dxfId="2" priority="5">
      <formula>AND($E$27="Yes",$E$29&gt;0,OR(AND($E$8=1,$D$10&gt;0),AND($E$8=2,$D$10&gt;0,$D$11&gt;0)))</formula>
    </cfRule>
  </conditionalFormatting>
  <conditionalFormatting sqref="F16:F17">
    <cfRule type="expression" dxfId="1" priority="2">
      <formula>AND($E$27="Yes",$E$29&gt;0,$E$8=2,$D$10&gt;0,$D$11&gt;0)</formula>
    </cfRule>
  </conditionalFormatting>
  <conditionalFormatting sqref="F17">
    <cfRule type="expression" dxfId="0" priority="3">
      <formula>AND($E$27="Yes",$E$29&gt;0,$E$8=2,$D$10&gt;0,$D$11&gt;0)</formula>
    </cfRule>
  </conditionalFormatting>
  <dataValidations count="5">
    <dataValidation type="list" allowBlank="1" showInputMessage="1" showErrorMessage="1" sqref="C13:D13" xr:uid="{00000000-0002-0000-0100-000000000000}">
      <formula1>Owners</formula1>
    </dataValidation>
    <dataValidation type="list" allowBlank="1" showInputMessage="1" showErrorMessage="1" sqref="C8:D8" xr:uid="{00000000-0002-0000-0100-000001000000}">
      <formula1>CTransactions</formula1>
    </dataValidation>
    <dataValidation type="decimal" allowBlank="1" showInputMessage="1" showErrorMessage="1" error="Either you have entered a negative # or a # over $100M.  If you have entered a negative #, please click &quot;Cancel&quot; and then enter a positive #.  If you have entered a # over $100M, please contact an underwriter for a quote." sqref="E10:F11" xr:uid="{00000000-0002-0000-0100-000002000000}">
      <formula1>0</formula1>
      <formula2>100000000</formula2>
    </dataValidation>
    <dataValidation type="decimal" allowBlank="1" showInputMessage="1" showErrorMessage="1" error="For transactions of $100M or more, please contact an underwriter for a quote." sqref="D10:D11" xr:uid="{00000000-0002-0000-0100-000003000000}">
      <formula1>0</formula1>
      <formula2>99999000</formula2>
    </dataValidation>
    <dataValidation type="list" showInputMessage="1" showErrorMessage="1" sqref="E27" xr:uid="{3C4BE7A0-56E1-41E6-9093-02854A911ACD}">
      <formula1>Remit</formula1>
    </dataValidation>
  </dataValidations>
  <printOptions horizontalCentered="1"/>
  <pageMargins left="0.4" right="0.4" top="0.75" bottom="0.5" header="0.5" footer="0.3"/>
  <pageSetup orientation="portrait" r:id="rId1"/>
  <headerFooter>
    <oddHeader>&amp;R&amp;D &amp;T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C31"/>
  <sheetViews>
    <sheetView showGridLines="0" workbookViewId="0">
      <selection activeCell="C6" sqref="C6"/>
    </sheetView>
  </sheetViews>
  <sheetFormatPr defaultRowHeight="12.75" x14ac:dyDescent="0.2"/>
  <cols>
    <col min="1" max="1" width="17.85546875" customWidth="1"/>
    <col min="2" max="2" width="49.7109375" customWidth="1"/>
    <col min="3" max="3" width="21.5703125" customWidth="1"/>
  </cols>
  <sheetData>
    <row r="1" spans="2:3" ht="20.100000000000001" customHeight="1" x14ac:dyDescent="0.2">
      <c r="B1" s="48" t="s">
        <v>0</v>
      </c>
      <c r="C1" s="53">
        <f>Residential!D10</f>
        <v>0</v>
      </c>
    </row>
    <row r="2" spans="2:3" ht="20.100000000000001" customHeight="1" thickBot="1" x14ac:dyDescent="0.25">
      <c r="B2" s="24" t="s">
        <v>1</v>
      </c>
      <c r="C2" s="54">
        <f>Residential!D11</f>
        <v>0</v>
      </c>
    </row>
    <row r="3" spans="2:3" ht="3.95" customHeight="1" thickBot="1" x14ac:dyDescent="0.25">
      <c r="B3" s="25"/>
      <c r="C3" s="25"/>
    </row>
    <row r="4" spans="2:3" x14ac:dyDescent="0.2">
      <c r="B4" s="142" t="s">
        <v>41</v>
      </c>
      <c r="C4" s="143"/>
    </row>
    <row r="5" spans="2:3" hidden="1" x14ac:dyDescent="0.2">
      <c r="B5" s="144"/>
      <c r="C5" s="145"/>
    </row>
    <row r="6" spans="2:3" ht="20.100000000000001" customHeight="1" x14ac:dyDescent="0.2">
      <c r="B6" s="23" t="s">
        <v>91</v>
      </c>
      <c r="C6" s="55">
        <f>IF(OR(C1=0,C2=0),0,IF(C1&gt;=C2,'R-Tables'!D43,'R-Tables'!D60))</f>
        <v>0</v>
      </c>
    </row>
    <row r="7" spans="2:3" ht="20.100000000000001" customHeight="1" x14ac:dyDescent="0.2">
      <c r="B7" s="23" t="s">
        <v>92</v>
      </c>
      <c r="C7" s="56">
        <f>IF(OR(C1=0,C2=0),0,IF(C1&gt;=C2,'R-Tables Enhanced LTP'!D43,'R-Tables Enhanced LTP'!D60))</f>
        <v>0</v>
      </c>
    </row>
    <row r="8" spans="2:3" ht="20.100000000000001" customHeight="1" x14ac:dyDescent="0.2">
      <c r="B8" s="23" t="s">
        <v>31</v>
      </c>
      <c r="C8" s="56">
        <f>IF(OR(C2=0,C1=0),0,C27)</f>
        <v>0</v>
      </c>
    </row>
    <row r="9" spans="2:3" ht="20.100000000000001" customHeight="1" x14ac:dyDescent="0.2">
      <c r="B9" s="26" t="s">
        <v>4</v>
      </c>
      <c r="C9" s="56">
        <f>IF(OR(C2=0,C1=0),0,C28)</f>
        <v>0</v>
      </c>
    </row>
    <row r="10" spans="2:3" ht="20.100000000000001" hidden="1" customHeight="1" thickBot="1" x14ac:dyDescent="0.25">
      <c r="B10" s="27"/>
      <c r="C10" s="28"/>
    </row>
    <row r="11" spans="2:3" x14ac:dyDescent="0.2">
      <c r="B11" s="136" t="s">
        <v>42</v>
      </c>
      <c r="C11" s="137"/>
    </row>
    <row r="12" spans="2:3" ht="20.100000000000001" customHeight="1" x14ac:dyDescent="0.2">
      <c r="B12" s="23" t="s">
        <v>91</v>
      </c>
      <c r="C12" s="55">
        <f>IF(OR(C2=0,C1=0),0,C24)</f>
        <v>0</v>
      </c>
    </row>
    <row r="13" spans="2:3" ht="20.100000000000001" customHeight="1" x14ac:dyDescent="0.2">
      <c r="B13" s="110" t="s">
        <v>92</v>
      </c>
      <c r="C13" s="56">
        <f>C26</f>
        <v>0</v>
      </c>
    </row>
    <row r="14" spans="2:3" ht="20.100000000000001" customHeight="1" x14ac:dyDescent="0.2">
      <c r="B14" s="23" t="s">
        <v>96</v>
      </c>
      <c r="C14" s="56">
        <f>IF(OR(C1=0,C2=0),0,IF(C1&gt;=C2,C27-C24+'R-Tables'!D43,'R-Tables'!D59))</f>
        <v>0</v>
      </c>
    </row>
    <row r="15" spans="2:3" ht="20.100000000000001" customHeight="1" x14ac:dyDescent="0.2">
      <c r="B15" s="110" t="s">
        <v>95</v>
      </c>
      <c r="C15" s="56">
        <f>IF(OR(C1=0,C2=0),0,IF(C1&gt;=C2,C28-C24+'R-Tables'!D43,'R-Tables'!D75))</f>
        <v>0</v>
      </c>
    </row>
    <row r="16" spans="2:3" ht="20.100000000000001" customHeight="1" x14ac:dyDescent="0.2">
      <c r="B16" s="23" t="s">
        <v>98</v>
      </c>
      <c r="C16" s="56">
        <f>IF(OR(C1=0,C2=0),0,IF(C1&gt;=C2,C27-C26+'R-Tables Enhanced LTP'!D43,'R-Tables Enhanced LTP'!D59))</f>
        <v>0</v>
      </c>
    </row>
    <row r="17" spans="2:3" ht="20.100000000000001" customHeight="1" thickBot="1" x14ac:dyDescent="0.25">
      <c r="B17" s="26" t="s">
        <v>97</v>
      </c>
      <c r="C17" s="56">
        <f>IF(OR(C1=0,C2=0),0,IF(C1&gt;=C2,C28-C26+'R-Tables Enhanced LTP'!D43,'R-Tables Enhanced LTP'!D75))</f>
        <v>0</v>
      </c>
    </row>
    <row r="18" spans="2:3" ht="20.100000000000001" hidden="1" customHeight="1" thickBot="1" x14ac:dyDescent="0.25">
      <c r="B18" s="27"/>
      <c r="C18" s="28"/>
    </row>
    <row r="19" spans="2:3" ht="12.75" hidden="1" customHeight="1" x14ac:dyDescent="0.2">
      <c r="B19" s="138" t="s">
        <v>6</v>
      </c>
      <c r="C19" s="139"/>
    </row>
    <row r="20" spans="2:3" ht="20.100000000000001" hidden="1" customHeight="1" x14ac:dyDescent="0.2">
      <c r="B20" s="29" t="s">
        <v>2</v>
      </c>
      <c r="C20" s="30"/>
    </row>
    <row r="21" spans="2:3" ht="20.100000000000001" hidden="1" customHeight="1" x14ac:dyDescent="0.2">
      <c r="B21" s="31" t="s">
        <v>3</v>
      </c>
      <c r="C21" s="30"/>
    </row>
    <row r="22" spans="2:3" ht="20.100000000000001" hidden="1" customHeight="1" thickBot="1" x14ac:dyDescent="0.25">
      <c r="B22" s="27" t="s">
        <v>5</v>
      </c>
      <c r="C22" s="28">
        <f>IF(C2=0,0,IF(#REF!=0,0,'R-Tables'!#REF!+'R-Tables'!#REF!))</f>
        <v>0</v>
      </c>
    </row>
    <row r="23" spans="2:3" x14ac:dyDescent="0.2">
      <c r="B23" s="140" t="s">
        <v>7</v>
      </c>
      <c r="C23" s="141"/>
    </row>
    <row r="24" spans="2:3" ht="20.100000000000001" customHeight="1" x14ac:dyDescent="0.2">
      <c r="B24" s="23" t="s">
        <v>91</v>
      </c>
      <c r="C24" s="55">
        <f>'R-Tables'!D14</f>
        <v>0</v>
      </c>
    </row>
    <row r="25" spans="2:3" ht="20.100000000000001" hidden="1" customHeight="1" x14ac:dyDescent="0.2">
      <c r="B25" s="29" t="s">
        <v>3</v>
      </c>
      <c r="C25" s="56"/>
    </row>
    <row r="26" spans="2:3" ht="20.100000000000001" customHeight="1" x14ac:dyDescent="0.2">
      <c r="B26" s="23" t="s">
        <v>92</v>
      </c>
      <c r="C26" s="56">
        <f>'R-Tables Enhanced LTP'!D14</f>
        <v>0</v>
      </c>
    </row>
    <row r="27" spans="2:3" ht="20.100000000000001" customHeight="1" x14ac:dyDescent="0.2">
      <c r="B27" s="23" t="s">
        <v>38</v>
      </c>
      <c r="C27" s="56">
        <f>'R-Tables'!D27</f>
        <v>0</v>
      </c>
    </row>
    <row r="28" spans="2:3" ht="20.100000000000001" customHeight="1" thickBot="1" x14ac:dyDescent="0.25">
      <c r="B28" s="24" t="s">
        <v>8</v>
      </c>
      <c r="C28" s="57">
        <f>'R-Tables'!D40</f>
        <v>0</v>
      </c>
    </row>
    <row r="29" spans="2:3" ht="3.95" customHeight="1" x14ac:dyDescent="0.2">
      <c r="B29" s="25"/>
      <c r="C29" s="25"/>
    </row>
    <row r="30" spans="2:3" x14ac:dyDescent="0.2">
      <c r="B30" s="1"/>
      <c r="C30" s="2"/>
    </row>
    <row r="31" spans="2:3" x14ac:dyDescent="0.2">
      <c r="B31" s="3"/>
    </row>
  </sheetData>
  <sheetProtection selectLockedCells="1"/>
  <mergeCells count="5">
    <mergeCell ref="B11:C11"/>
    <mergeCell ref="B19:C19"/>
    <mergeCell ref="B23:C23"/>
    <mergeCell ref="B4:C4"/>
    <mergeCell ref="B5:C5"/>
  </mergeCells>
  <printOptions horizontalCentered="1"/>
  <pageMargins left="0.75" right="0.7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76"/>
  <sheetViews>
    <sheetView zoomScale="115" zoomScaleNormal="115" workbookViewId="0">
      <selection activeCell="C38" sqref="C38"/>
    </sheetView>
  </sheetViews>
  <sheetFormatPr defaultRowHeight="12.75" x14ac:dyDescent="0.2"/>
  <cols>
    <col min="1" max="2" width="13.42578125" customWidth="1"/>
    <col min="3" max="3" width="14.140625" customWidth="1"/>
    <col min="4" max="4" width="20.5703125" customWidth="1"/>
    <col min="5" max="5" width="3.42578125" customWidth="1"/>
    <col min="6" max="6" width="16.7109375" customWidth="1"/>
    <col min="8" max="8" width="30.140625" customWidth="1"/>
  </cols>
  <sheetData>
    <row r="1" spans="1:8" ht="13.5" thickBot="1" x14ac:dyDescent="0.25">
      <c r="A1" s="155" t="s">
        <v>22</v>
      </c>
      <c r="B1" s="156"/>
      <c r="C1" s="156"/>
      <c r="D1" s="157"/>
      <c r="F1" t="s">
        <v>24</v>
      </c>
      <c r="H1" t="s">
        <v>25</v>
      </c>
    </row>
    <row r="2" spans="1:8" ht="13.5" thickBot="1" x14ac:dyDescent="0.25">
      <c r="A2" s="158" t="s">
        <v>9</v>
      </c>
      <c r="B2" s="158"/>
      <c r="C2" s="158"/>
      <c r="D2" s="158"/>
      <c r="E2" s="34"/>
      <c r="F2" s="44" t="s">
        <v>116</v>
      </c>
      <c r="H2" s="45" t="s">
        <v>33</v>
      </c>
    </row>
    <row r="3" spans="1:8" ht="13.5" thickBot="1" x14ac:dyDescent="0.25">
      <c r="A3" s="149" t="s">
        <v>10</v>
      </c>
      <c r="B3" s="150"/>
      <c r="C3" s="150"/>
      <c r="D3" s="151"/>
      <c r="H3" s="45" t="s">
        <v>26</v>
      </c>
    </row>
    <row r="4" spans="1:8" ht="13.5" thickBot="1" x14ac:dyDescent="0.25">
      <c r="A4" s="146" t="s">
        <v>91</v>
      </c>
      <c r="B4" s="147"/>
      <c r="C4" s="147"/>
      <c r="D4" s="148"/>
      <c r="H4" s="45" t="s">
        <v>27</v>
      </c>
    </row>
    <row r="5" spans="1:8" x14ac:dyDescent="0.2">
      <c r="B5" s="18" t="s">
        <v>1</v>
      </c>
      <c r="C5" s="32">
        <f>'R-Rates'!C2</f>
        <v>0</v>
      </c>
      <c r="H5" s="45" t="s">
        <v>28</v>
      </c>
    </row>
    <row r="6" spans="1:8" x14ac:dyDescent="0.2">
      <c r="B6" s="18" t="s">
        <v>11</v>
      </c>
      <c r="C6" s="4">
        <f>ROUNDUP(C5,-3)</f>
        <v>0</v>
      </c>
    </row>
    <row r="7" spans="1:8" x14ac:dyDescent="0.2">
      <c r="A7" s="18" t="s">
        <v>20</v>
      </c>
      <c r="B7" s="38">
        <v>100000</v>
      </c>
      <c r="C7" s="38">
        <v>4</v>
      </c>
      <c r="D7" s="5">
        <f>IF(C$6=0,0,IF(C$6&gt;=B7,(B7/1000)*C7,(C$6/1000)*C7))</f>
        <v>0</v>
      </c>
      <c r="H7" t="s">
        <v>29</v>
      </c>
    </row>
    <row r="8" spans="1:8" x14ac:dyDescent="0.2">
      <c r="A8" s="18" t="s">
        <v>20</v>
      </c>
      <c r="B8" s="38">
        <v>500000</v>
      </c>
      <c r="C8" s="38">
        <v>3.3</v>
      </c>
      <c r="D8" s="5">
        <f>IF(C$6=0,0,IF(C$6&gt;=B8,((B8-B7)/1000)*C8,IF(C$6&gt;B7,((C$6-B7)/1000)*C8,0)))</f>
        <v>0</v>
      </c>
      <c r="F8" s="42"/>
      <c r="H8" s="45" t="s">
        <v>33</v>
      </c>
    </row>
    <row r="9" spans="1:8" x14ac:dyDescent="0.2">
      <c r="A9" s="18" t="s">
        <v>20</v>
      </c>
      <c r="B9" s="38"/>
      <c r="C9" s="39"/>
      <c r="D9" s="5">
        <f>IF(C$6=0,0,IF(C$6&gt;=B9,((B9-B8)/1000)*C9,IF(C$6&gt;B8,((C$6-B8)/1000)*C9,0)))</f>
        <v>0</v>
      </c>
      <c r="F9" s="42"/>
      <c r="H9" s="45" t="s">
        <v>32</v>
      </c>
    </row>
    <row r="10" spans="1:8" x14ac:dyDescent="0.2">
      <c r="A10" s="18" t="s">
        <v>20</v>
      </c>
      <c r="B10" s="38"/>
      <c r="C10" s="39"/>
      <c r="D10" s="5">
        <f>IF(C$6=0,0,IF(C$6&gt;=B10,((B10-B9)/1000)*C10,IF(C$6&gt;B9,((C$6-B9)/1000)*C10,0)))</f>
        <v>0</v>
      </c>
      <c r="F10" s="42"/>
      <c r="H10" s="45" t="s">
        <v>30</v>
      </c>
    </row>
    <row r="11" spans="1:8" x14ac:dyDescent="0.2">
      <c r="A11" s="18" t="s">
        <v>21</v>
      </c>
      <c r="B11" s="38">
        <v>500000</v>
      </c>
      <c r="C11" s="38">
        <v>2.95</v>
      </c>
      <c r="D11" s="5">
        <f>IF(C$6=0,0,IF(C$6&gt;=B11,((C$6-B11)/1000)*C11,0))</f>
        <v>0</v>
      </c>
      <c r="F11" s="42"/>
      <c r="H11" s="45"/>
    </row>
    <row r="12" spans="1:8" x14ac:dyDescent="0.2">
      <c r="A12" t="s">
        <v>5</v>
      </c>
      <c r="D12" s="6">
        <f>SUM(D7:D11)</f>
        <v>0</v>
      </c>
      <c r="H12" s="101" t="s">
        <v>69</v>
      </c>
    </row>
    <row r="13" spans="1:8" ht="13.5" thickBot="1" x14ac:dyDescent="0.25">
      <c r="A13" s="18"/>
      <c r="B13" s="18" t="s">
        <v>19</v>
      </c>
      <c r="C13" s="40">
        <v>200</v>
      </c>
      <c r="D13" s="36">
        <f>IF(D12&lt;C13,C13,D12)</f>
        <v>200</v>
      </c>
      <c r="H13" s="45" t="s">
        <v>74</v>
      </c>
    </row>
    <row r="14" spans="1:8" ht="13.5" thickBot="1" x14ac:dyDescent="0.25">
      <c r="A14" t="s">
        <v>12</v>
      </c>
      <c r="D14" s="7">
        <f>IF(C$6=0,0,D13)</f>
        <v>0</v>
      </c>
      <c r="H14" s="45" t="s">
        <v>73</v>
      </c>
    </row>
    <row r="15" spans="1:8" x14ac:dyDescent="0.2">
      <c r="H15" s="45" t="s">
        <v>30</v>
      </c>
    </row>
    <row r="16" spans="1:8" ht="13.5" thickBot="1" x14ac:dyDescent="0.25"/>
    <row r="17" spans="1:8" ht="13.5" thickBot="1" x14ac:dyDescent="0.25">
      <c r="A17" s="146" t="s">
        <v>31</v>
      </c>
      <c r="B17" s="147"/>
      <c r="C17" s="147"/>
      <c r="D17" s="148"/>
    </row>
    <row r="18" spans="1:8" x14ac:dyDescent="0.2">
      <c r="B18" s="18" t="s">
        <v>13</v>
      </c>
      <c r="C18" s="32">
        <f>'R-Rates'!C1</f>
        <v>0</v>
      </c>
      <c r="H18" t="s">
        <v>109</v>
      </c>
    </row>
    <row r="19" spans="1:8" x14ac:dyDescent="0.2">
      <c r="B19" s="18" t="s">
        <v>11</v>
      </c>
      <c r="C19" s="4">
        <f>ROUNDUP(C18,-3)</f>
        <v>0</v>
      </c>
      <c r="H19" s="45" t="s">
        <v>70</v>
      </c>
    </row>
    <row r="20" spans="1:8" x14ac:dyDescent="0.2">
      <c r="A20" s="18" t="s">
        <v>20</v>
      </c>
      <c r="B20" s="38">
        <v>100000</v>
      </c>
      <c r="C20" s="39">
        <v>5.5</v>
      </c>
      <c r="D20" s="5">
        <f>IF(C$19=0,0,IF(C$19&gt;=B20,(B20/1000)*C20,(C$19/1000)*C20))</f>
        <v>0</v>
      </c>
      <c r="H20" s="45" t="s">
        <v>71</v>
      </c>
    </row>
    <row r="21" spans="1:8" x14ac:dyDescent="0.2">
      <c r="A21" s="18" t="s">
        <v>20</v>
      </c>
      <c r="B21" s="38">
        <v>500000</v>
      </c>
      <c r="C21" s="39">
        <v>4.8499999999999996</v>
      </c>
      <c r="D21" s="5">
        <f>IF(C$19=0,0,IF(C$19&gt;=B21,((B21-B20)/1000)*C21,IF(C$19&gt;B20,((C$19-B20)/1000)*C21,0)))</f>
        <v>0</v>
      </c>
      <c r="F21" s="42"/>
    </row>
    <row r="22" spans="1:8" x14ac:dyDescent="0.2">
      <c r="A22" s="18" t="s">
        <v>20</v>
      </c>
      <c r="B22" s="38"/>
      <c r="C22" s="39"/>
      <c r="D22" s="5">
        <f>IF(C$19=0,0,IF(C$19&gt;=B22,((B22-B21)/1000)*C22,IF(C$19&gt;B21,((C$19-B21)/1000)*C22,0)))</f>
        <v>0</v>
      </c>
      <c r="F22" s="42"/>
    </row>
    <row r="23" spans="1:8" x14ac:dyDescent="0.2">
      <c r="A23" s="18" t="s">
        <v>20</v>
      </c>
      <c r="B23" s="38"/>
      <c r="C23" s="39"/>
      <c r="D23" s="5">
        <f>IF(C$19=0,0,IF(C$19&gt;=B23,((B23-B22)/1000)*C23,IF(C$19&gt;B22,((C$19-B22)/1000)*C23,0)))</f>
        <v>0</v>
      </c>
      <c r="F23" s="42"/>
    </row>
    <row r="24" spans="1:8" x14ac:dyDescent="0.2">
      <c r="A24" s="18" t="s">
        <v>21</v>
      </c>
      <c r="B24" s="38">
        <v>500000</v>
      </c>
      <c r="C24" s="39">
        <v>3.95</v>
      </c>
      <c r="D24" s="5">
        <f>IF(C$19=0,0,IF(C$19&gt;=B24,((C$19-B24)/1000)*C24,0))</f>
        <v>0</v>
      </c>
      <c r="F24" s="42"/>
    </row>
    <row r="25" spans="1:8" x14ac:dyDescent="0.2">
      <c r="A25" t="s">
        <v>5</v>
      </c>
      <c r="D25" s="35">
        <f>SUM(D20:D24)</f>
        <v>0</v>
      </c>
    </row>
    <row r="26" spans="1:8" ht="13.5" thickBot="1" x14ac:dyDescent="0.25">
      <c r="B26" s="18" t="s">
        <v>19</v>
      </c>
      <c r="C26" s="39">
        <v>200</v>
      </c>
      <c r="D26" s="36">
        <f>IF(D25&lt;C26,C26,D25)</f>
        <v>200</v>
      </c>
    </row>
    <row r="27" spans="1:8" ht="13.5" thickBot="1" x14ac:dyDescent="0.25">
      <c r="A27" t="s">
        <v>14</v>
      </c>
      <c r="D27" s="37">
        <f>IF(C$19=0,0,D26)</f>
        <v>0</v>
      </c>
    </row>
    <row r="29" spans="1:8" ht="13.5" thickBot="1" x14ac:dyDescent="0.25"/>
    <row r="30" spans="1:8" ht="13.5" thickBot="1" x14ac:dyDescent="0.25">
      <c r="A30" s="146" t="s">
        <v>4</v>
      </c>
      <c r="B30" s="147"/>
      <c r="C30" s="147"/>
      <c r="D30" s="148"/>
    </row>
    <row r="31" spans="1:8" x14ac:dyDescent="0.2">
      <c r="B31" s="18" t="s">
        <v>13</v>
      </c>
      <c r="C31" s="32">
        <f>'R-Rates'!C1</f>
        <v>0</v>
      </c>
    </row>
    <row r="32" spans="1:8" x14ac:dyDescent="0.2">
      <c r="B32" s="18" t="s">
        <v>11</v>
      </c>
      <c r="C32" s="4">
        <f>ROUNDUP(C31,-3)</f>
        <v>0</v>
      </c>
    </row>
    <row r="33" spans="1:6" x14ac:dyDescent="0.2">
      <c r="A33" s="18" t="s">
        <v>20</v>
      </c>
      <c r="B33" s="38">
        <v>100000</v>
      </c>
      <c r="C33" s="39">
        <v>6.6</v>
      </c>
      <c r="D33" s="5">
        <f>IF(C$19=0,0,IF(C$19&gt;=B33,(B33/1000)*C33,(C$19/1000)*C33))</f>
        <v>0</v>
      </c>
    </row>
    <row r="34" spans="1:6" x14ac:dyDescent="0.2">
      <c r="A34" s="18" t="s">
        <v>20</v>
      </c>
      <c r="B34" s="38">
        <v>500000</v>
      </c>
      <c r="C34" s="39">
        <v>5.55</v>
      </c>
      <c r="D34" s="5">
        <f>IF(C$19=0,0,IF(C$19&gt;=B34,((B34-B33)/1000)*C34,IF(C$19&gt;B33,((C$19-B33)/1000)*C34,0)))</f>
        <v>0</v>
      </c>
    </row>
    <row r="35" spans="1:6" x14ac:dyDescent="0.2">
      <c r="A35" s="18" t="s">
        <v>20</v>
      </c>
      <c r="B35" s="38"/>
      <c r="C35" s="39"/>
      <c r="D35" s="5">
        <f>IF(C$19=0,0,IF(C$19&gt;=B35,((B35-B34)/1000)*C35,IF(C$19&gt;B34,((C$19-B34)/1000)*C35,0)))</f>
        <v>0</v>
      </c>
    </row>
    <row r="36" spans="1:6" x14ac:dyDescent="0.2">
      <c r="A36" s="18" t="s">
        <v>20</v>
      </c>
      <c r="B36" s="38"/>
      <c r="C36" s="39"/>
      <c r="D36" s="5">
        <f>IF(C$19=0,0,IF(C$19&gt;=B36,((B36-B35)/1000)*C36,IF(C$19&gt;B35,((C$19-B35)/1000)*C36,0)))</f>
        <v>0</v>
      </c>
    </row>
    <row r="37" spans="1:6" x14ac:dyDescent="0.2">
      <c r="A37" s="18" t="s">
        <v>21</v>
      </c>
      <c r="B37" s="38">
        <v>500000</v>
      </c>
      <c r="C37" s="39">
        <v>4.5</v>
      </c>
      <c r="D37" s="5">
        <f>IF(C$19=0,0,IF(C$19&gt;=B37,((C$19-B37)/1000)*C37,0))</f>
        <v>0</v>
      </c>
    </row>
    <row r="38" spans="1:6" x14ac:dyDescent="0.2">
      <c r="A38" t="s">
        <v>5</v>
      </c>
      <c r="D38" s="35">
        <f>SUM(D33:D37)</f>
        <v>0</v>
      </c>
    </row>
    <row r="39" spans="1:6" ht="13.5" thickBot="1" x14ac:dyDescent="0.25">
      <c r="B39" s="18" t="s">
        <v>19</v>
      </c>
      <c r="C39" s="39">
        <v>200</v>
      </c>
      <c r="D39" s="36">
        <f>IF(D38&lt;C39,C39,D38)</f>
        <v>200</v>
      </c>
    </row>
    <row r="40" spans="1:6" ht="13.5" thickBot="1" x14ac:dyDescent="0.25">
      <c r="A40" t="s">
        <v>15</v>
      </c>
      <c r="D40" s="37">
        <f>IF(C$19=0,0,D39)</f>
        <v>0</v>
      </c>
    </row>
    <row r="41" spans="1:6" x14ac:dyDescent="0.2">
      <c r="D41" s="9"/>
    </row>
    <row r="42" spans="1:6" ht="13.5" thickBot="1" x14ac:dyDescent="0.25">
      <c r="D42" s="9"/>
    </row>
    <row r="43" spans="1:6" ht="13.5" thickBot="1" x14ac:dyDescent="0.25">
      <c r="A43" s="152" t="s">
        <v>23</v>
      </c>
      <c r="B43" s="153"/>
      <c r="C43" s="154"/>
      <c r="D43" s="41">
        <v>200</v>
      </c>
    </row>
    <row r="44" spans="1:6" ht="13.5" thickBot="1" x14ac:dyDescent="0.25"/>
    <row r="45" spans="1:6" ht="13.5" thickBot="1" x14ac:dyDescent="0.25">
      <c r="A45" s="149" t="s">
        <v>17</v>
      </c>
      <c r="B45" s="150"/>
      <c r="C45" s="150"/>
      <c r="D45" s="151"/>
      <c r="E45" s="34"/>
      <c r="F45" s="43"/>
    </row>
    <row r="46" spans="1:6" ht="13.5" thickBot="1" x14ac:dyDescent="0.25">
      <c r="A46" s="146" t="s">
        <v>93</v>
      </c>
      <c r="B46" s="147"/>
      <c r="C46" s="147"/>
      <c r="D46" s="148"/>
      <c r="F46" s="43"/>
    </row>
    <row r="47" spans="1:6" hidden="1" x14ac:dyDescent="0.2">
      <c r="A47" t="s">
        <v>16</v>
      </c>
      <c r="D47" s="10">
        <f>D43</f>
        <v>200</v>
      </c>
      <c r="F47" s="43"/>
    </row>
    <row r="48" spans="1:6" x14ac:dyDescent="0.2">
      <c r="B48" t="s">
        <v>13</v>
      </c>
      <c r="C48" s="33">
        <f>IF(C18=0,0,C18)</f>
        <v>0</v>
      </c>
      <c r="F48" s="43"/>
    </row>
    <row r="49" spans="1:6" x14ac:dyDescent="0.2">
      <c r="B49" t="s">
        <v>11</v>
      </c>
      <c r="C49" s="4">
        <f>ROUNDUP(C48,-3)</f>
        <v>0</v>
      </c>
      <c r="F49" s="43"/>
    </row>
    <row r="50" spans="1:6" x14ac:dyDescent="0.2">
      <c r="A50" s="18" t="s">
        <v>20</v>
      </c>
      <c r="B50" s="20">
        <f t="shared" ref="B50:C54" si="0">B7</f>
        <v>100000</v>
      </c>
      <c r="C50" s="19">
        <f t="shared" si="0"/>
        <v>4</v>
      </c>
      <c r="D50" s="5">
        <f>IF(C$49=0,0,IF(C$49&gt;=B50,(B50/1000)*C50,(C$49/1000)*C50))</f>
        <v>0</v>
      </c>
    </row>
    <row r="51" spans="1:6" x14ac:dyDescent="0.2">
      <c r="A51" s="18" t="s">
        <v>20</v>
      </c>
      <c r="B51" s="20">
        <f t="shared" si="0"/>
        <v>500000</v>
      </c>
      <c r="C51" s="19">
        <f t="shared" si="0"/>
        <v>3.3</v>
      </c>
      <c r="D51" s="5">
        <f>IF(C$49=0,0,IF(C$49&gt;=B51,((B51-B50)/1000)*C51,IF(C$49&gt;B50,((C$49-B50)/1000)*C51,0)))</f>
        <v>0</v>
      </c>
    </row>
    <row r="52" spans="1:6" x14ac:dyDescent="0.2">
      <c r="A52" s="18" t="s">
        <v>20</v>
      </c>
      <c r="B52" s="20">
        <f t="shared" si="0"/>
        <v>0</v>
      </c>
      <c r="C52" s="19">
        <f t="shared" si="0"/>
        <v>0</v>
      </c>
      <c r="D52" s="5">
        <f>IF(C$49=0,0,IF(C$49&gt;=B52,((B52-B51)/1000)*C52,IF(C$49&gt;B51,((C$49-B51)/1000)*C52,0)))</f>
        <v>0</v>
      </c>
    </row>
    <row r="53" spans="1:6" x14ac:dyDescent="0.2">
      <c r="A53" s="18" t="s">
        <v>20</v>
      </c>
      <c r="B53" s="20">
        <f t="shared" si="0"/>
        <v>0</v>
      </c>
      <c r="C53" s="19">
        <f t="shared" si="0"/>
        <v>0</v>
      </c>
      <c r="D53" s="5">
        <f>IF(C$49=0,0,IF(C$49&gt;=B53,((B53-B52)/1000)*C53,IF(C$49&gt;B52,((C$49-B52)/1000)*C53,0)))</f>
        <v>0</v>
      </c>
    </row>
    <row r="54" spans="1:6" x14ac:dyDescent="0.2">
      <c r="A54" s="18" t="s">
        <v>21</v>
      </c>
      <c r="B54" s="20">
        <f t="shared" si="0"/>
        <v>500000</v>
      </c>
      <c r="C54" s="19">
        <f t="shared" si="0"/>
        <v>2.95</v>
      </c>
      <c r="D54" s="5">
        <f>IF(C$49=0,0,IF(C$49&gt;=B54,((C$49-B54)/1000)*C54,0))</f>
        <v>0</v>
      </c>
    </row>
    <row r="55" spans="1:6" x14ac:dyDescent="0.2">
      <c r="A55" t="s">
        <v>18</v>
      </c>
      <c r="D55" s="8">
        <f>SUM(D50:D54)</f>
        <v>0</v>
      </c>
    </row>
    <row r="56" spans="1:6" x14ac:dyDescent="0.2">
      <c r="B56" s="18" t="s">
        <v>19</v>
      </c>
      <c r="C56" s="21">
        <f>C13</f>
        <v>200</v>
      </c>
      <c r="D56" s="22">
        <f>IF(D55&lt;C56,C56,D55)</f>
        <v>200</v>
      </c>
      <c r="F56" s="43"/>
    </row>
    <row r="57" spans="1:6" x14ac:dyDescent="0.2">
      <c r="A57" t="s">
        <v>44</v>
      </c>
      <c r="D57" s="11">
        <f>IF(C$49&lt;=0,0,D27)</f>
        <v>0</v>
      </c>
      <c r="F57" s="120">
        <f>D57+D58</f>
        <v>0</v>
      </c>
    </row>
    <row r="58" spans="1:6" ht="13.5" thickBot="1" x14ac:dyDescent="0.25">
      <c r="A58" t="s">
        <v>43</v>
      </c>
      <c r="D58" s="12">
        <f>IF(C$49&lt;=0,0,D14)</f>
        <v>0</v>
      </c>
      <c r="F58" s="120">
        <f>D57+F60</f>
        <v>0</v>
      </c>
    </row>
    <row r="59" spans="1:6" ht="13.5" thickBot="1" x14ac:dyDescent="0.25">
      <c r="A59" t="s">
        <v>35</v>
      </c>
      <c r="D59" s="13">
        <f>IF(C49=0,0,IF(C6&lt;C19,0,D57+D60-D58))</f>
        <v>0</v>
      </c>
      <c r="F59" s="43">
        <f>IF(F57&lt;=F58,1,0)</f>
        <v>1</v>
      </c>
    </row>
    <row r="60" spans="1:6" ht="13.5" thickBot="1" x14ac:dyDescent="0.25">
      <c r="A60" t="s">
        <v>45</v>
      </c>
      <c r="D60" s="49">
        <f>IF(C49=0,0,IF(F59=1,D58,D12-D55+D43))</f>
        <v>0</v>
      </c>
      <c r="F60" s="120">
        <f>IF(C49=0,0,D12-D55+D43)</f>
        <v>0</v>
      </c>
    </row>
    <row r="61" spans="1:6" ht="13.5" thickBot="1" x14ac:dyDescent="0.25"/>
    <row r="62" spans="1:6" ht="13.5" thickBot="1" x14ac:dyDescent="0.25">
      <c r="A62" s="146" t="s">
        <v>94</v>
      </c>
      <c r="B62" s="147"/>
      <c r="C62" s="147"/>
      <c r="D62" s="148"/>
    </row>
    <row r="63" spans="1:6" hidden="1" x14ac:dyDescent="0.2">
      <c r="A63" t="s">
        <v>16</v>
      </c>
      <c r="D63" s="10">
        <f>D47</f>
        <v>200</v>
      </c>
      <c r="F63" s="43"/>
    </row>
    <row r="64" spans="1:6" x14ac:dyDescent="0.2">
      <c r="B64" t="s">
        <v>13</v>
      </c>
      <c r="C64" s="33">
        <f>IF(C18=0,0,C18)</f>
        <v>0</v>
      </c>
    </row>
    <row r="65" spans="1:6" x14ac:dyDescent="0.2">
      <c r="B65" t="s">
        <v>11</v>
      </c>
      <c r="C65" s="4">
        <f>ROUNDUP(C64,-3)</f>
        <v>0</v>
      </c>
    </row>
    <row r="66" spans="1:6" x14ac:dyDescent="0.2">
      <c r="A66" s="18" t="s">
        <v>20</v>
      </c>
      <c r="B66" s="20">
        <f t="shared" ref="B66:C70" si="1">B7</f>
        <v>100000</v>
      </c>
      <c r="C66" s="19">
        <f t="shared" si="1"/>
        <v>4</v>
      </c>
      <c r="D66" s="5">
        <f>IF(C$65=0,0,IF(C$65&gt;=B66,(B66/1000)*C66,(C$65/1000)*C66))</f>
        <v>0</v>
      </c>
    </row>
    <row r="67" spans="1:6" x14ac:dyDescent="0.2">
      <c r="A67" s="18" t="s">
        <v>20</v>
      </c>
      <c r="B67" s="20">
        <f t="shared" si="1"/>
        <v>500000</v>
      </c>
      <c r="C67" s="19">
        <f t="shared" si="1"/>
        <v>3.3</v>
      </c>
      <c r="D67" s="5">
        <f>IF(C$65=0,0,IF(C$65&gt;=B67,((B67-B66)/1000)*C67,IF(C$65&gt;B66,((C$65-B66)/1000)*C67,0)))</f>
        <v>0</v>
      </c>
    </row>
    <row r="68" spans="1:6" x14ac:dyDescent="0.2">
      <c r="A68" s="18" t="s">
        <v>20</v>
      </c>
      <c r="B68" s="20">
        <f t="shared" si="1"/>
        <v>0</v>
      </c>
      <c r="C68" s="19">
        <f t="shared" si="1"/>
        <v>0</v>
      </c>
      <c r="D68" s="5">
        <f>IF(C$65=0,0,IF(C$65&gt;=B68,((B68-B67)/1000)*C68,IF(C$65&gt;B67,((C$65-B67)/1000)*C68,0)))</f>
        <v>0</v>
      </c>
    </row>
    <row r="69" spans="1:6" x14ac:dyDescent="0.2">
      <c r="A69" s="18" t="s">
        <v>20</v>
      </c>
      <c r="B69" s="20">
        <f t="shared" si="1"/>
        <v>0</v>
      </c>
      <c r="C69" s="19">
        <f t="shared" si="1"/>
        <v>0</v>
      </c>
      <c r="D69" s="5">
        <f>IF(C$65=0,0,IF(C$65&gt;=B69,((B69-B68)/1000)*C69,IF(C$65&gt;B68,((C$65-B68)/1000)*C69,0)))</f>
        <v>0</v>
      </c>
    </row>
    <row r="70" spans="1:6" x14ac:dyDescent="0.2">
      <c r="A70" s="18" t="s">
        <v>21</v>
      </c>
      <c r="B70" s="20">
        <f t="shared" si="1"/>
        <v>500000</v>
      </c>
      <c r="C70" s="19">
        <f t="shared" si="1"/>
        <v>2.95</v>
      </c>
      <c r="D70" s="5">
        <f>IF(C$65=0,0,IF(C$65&gt;=B70,((C$65-B70)/1000)*C70,0))</f>
        <v>0</v>
      </c>
    </row>
    <row r="71" spans="1:6" x14ac:dyDescent="0.2">
      <c r="A71" t="s">
        <v>18</v>
      </c>
      <c r="D71" s="8">
        <f>SUM(D66:D70)</f>
        <v>0</v>
      </c>
    </row>
    <row r="72" spans="1:6" x14ac:dyDescent="0.2">
      <c r="B72" s="18" t="s">
        <v>19</v>
      </c>
      <c r="C72" s="21">
        <f>C13</f>
        <v>200</v>
      </c>
      <c r="D72" s="22">
        <f>IF(D71&lt;C72,C72,D71)</f>
        <v>200</v>
      </c>
    </row>
    <row r="73" spans="1:6" x14ac:dyDescent="0.2">
      <c r="A73" t="s">
        <v>15</v>
      </c>
      <c r="D73" s="11">
        <f>IF(C$65&lt;=0,0,D40)</f>
        <v>0</v>
      </c>
      <c r="F73" s="120">
        <f>D73+D74</f>
        <v>0</v>
      </c>
    </row>
    <row r="74" spans="1:6" ht="13.5" thickBot="1" x14ac:dyDescent="0.25">
      <c r="A74" t="s">
        <v>43</v>
      </c>
      <c r="D74" s="12">
        <f>IF(C$65&lt;=0,0,D14)</f>
        <v>0</v>
      </c>
      <c r="F74" s="120">
        <f>D73+F76</f>
        <v>0</v>
      </c>
    </row>
    <row r="75" spans="1:6" ht="13.5" thickBot="1" x14ac:dyDescent="0.25">
      <c r="A75" t="s">
        <v>34</v>
      </c>
      <c r="D75" s="13">
        <f>IF(C65=0,0,IF(C6&lt;C19,0,D73+D76-D74))</f>
        <v>0</v>
      </c>
      <c r="F75" s="43">
        <f>IF(F73&lt;=F74,1,0)</f>
        <v>1</v>
      </c>
    </row>
    <row r="76" spans="1:6" ht="13.5" thickBot="1" x14ac:dyDescent="0.25">
      <c r="A76" t="s">
        <v>45</v>
      </c>
      <c r="D76" s="49">
        <f>IF(C65=0,0,IF(F59=1,D74,D12-D71+D43))</f>
        <v>0</v>
      </c>
      <c r="F76" s="71">
        <f>IF(C65=0,0,D12-D71+D43)</f>
        <v>0</v>
      </c>
    </row>
  </sheetData>
  <sheetProtection selectLockedCells="1"/>
  <mergeCells count="10">
    <mergeCell ref="A17:D17"/>
    <mergeCell ref="A1:D1"/>
    <mergeCell ref="A2:D2"/>
    <mergeCell ref="A3:D3"/>
    <mergeCell ref="A4:D4"/>
    <mergeCell ref="A30:D30"/>
    <mergeCell ref="A45:D45"/>
    <mergeCell ref="A46:D46"/>
    <mergeCell ref="A62:D62"/>
    <mergeCell ref="A43:C43"/>
  </mergeCells>
  <printOptions horizontalCentered="1"/>
  <pageMargins left="0.5" right="0.5" top="0.75" bottom="1" header="0.5" footer="0.5"/>
  <pageSetup orientation="landscape" r:id="rId1"/>
  <headerFooter alignWithMargins="0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ECC49-8F1D-4F50-A58D-D850F51ACDF5}">
  <dimension ref="A1:F76"/>
  <sheetViews>
    <sheetView zoomScale="115" zoomScaleNormal="115" workbookViewId="0">
      <selection activeCell="C12" sqref="C12"/>
    </sheetView>
  </sheetViews>
  <sheetFormatPr defaultRowHeight="12.75" x14ac:dyDescent="0.2"/>
  <cols>
    <col min="1" max="2" width="13.42578125" customWidth="1"/>
    <col min="3" max="3" width="14.140625" customWidth="1"/>
    <col min="4" max="4" width="20.5703125" customWidth="1"/>
    <col min="5" max="5" width="3.42578125" customWidth="1"/>
    <col min="6" max="6" width="13.28515625" customWidth="1"/>
  </cols>
  <sheetData>
    <row r="1" spans="1:5" ht="13.5" thickBot="1" x14ac:dyDescent="0.25">
      <c r="A1" s="155" t="s">
        <v>22</v>
      </c>
      <c r="B1" s="156"/>
      <c r="C1" s="156"/>
      <c r="D1" s="157"/>
    </row>
    <row r="2" spans="1:5" ht="13.5" thickBot="1" x14ac:dyDescent="0.25">
      <c r="A2" s="158" t="s">
        <v>9</v>
      </c>
      <c r="B2" s="158"/>
      <c r="C2" s="158"/>
      <c r="D2" s="158"/>
      <c r="E2" s="34"/>
    </row>
    <row r="3" spans="1:5" ht="13.5" thickBot="1" x14ac:dyDescent="0.25">
      <c r="A3" s="149" t="s">
        <v>10</v>
      </c>
      <c r="B3" s="150"/>
      <c r="C3" s="150"/>
      <c r="D3" s="151"/>
    </row>
    <row r="4" spans="1:5" ht="13.5" thickBot="1" x14ac:dyDescent="0.25">
      <c r="A4" s="146" t="s">
        <v>92</v>
      </c>
      <c r="B4" s="147"/>
      <c r="C4" s="147"/>
      <c r="D4" s="148"/>
    </row>
    <row r="5" spans="1:5" x14ac:dyDescent="0.2">
      <c r="B5" s="18" t="s">
        <v>1</v>
      </c>
      <c r="C5" s="32">
        <f>'R-Rates'!C2</f>
        <v>0</v>
      </c>
    </row>
    <row r="6" spans="1:5" x14ac:dyDescent="0.2">
      <c r="B6" s="18" t="s">
        <v>11</v>
      </c>
      <c r="C6" s="4">
        <f>ROUNDUP(C5,-3)</f>
        <v>0</v>
      </c>
    </row>
    <row r="7" spans="1:5" x14ac:dyDescent="0.2">
      <c r="A7" s="18" t="s">
        <v>20</v>
      </c>
      <c r="B7" s="38">
        <v>100000</v>
      </c>
      <c r="C7" s="38">
        <v>4.8499999999999996</v>
      </c>
      <c r="D7" s="5">
        <f>IF(C$6=0,0,IF(C$6&gt;=B7,(B7/1000)*C7,(C$6/1000)*C7))</f>
        <v>0</v>
      </c>
    </row>
    <row r="8" spans="1:5" x14ac:dyDescent="0.2">
      <c r="A8" s="18" t="s">
        <v>20</v>
      </c>
      <c r="B8" s="38">
        <v>500000</v>
      </c>
      <c r="C8" s="38">
        <v>4</v>
      </c>
      <c r="D8" s="5">
        <f>IF(C$6=0,0,IF(C$6&gt;=B8,((B8-B7)/1000)*C8,IF(C$6&gt;B7,((C$6-B7)/1000)*C8,0)))</f>
        <v>0</v>
      </c>
    </row>
    <row r="9" spans="1:5" x14ac:dyDescent="0.2">
      <c r="A9" s="18" t="s">
        <v>20</v>
      </c>
      <c r="B9" s="38"/>
      <c r="C9" s="39"/>
      <c r="D9" s="5">
        <f>IF(C$6=0,0,IF(C$6&gt;=B9,((B9-B8)/1000)*C9,IF(C$6&gt;B8,((C$6-B8)/1000)*C9,0)))</f>
        <v>0</v>
      </c>
    </row>
    <row r="10" spans="1:5" x14ac:dyDescent="0.2">
      <c r="A10" s="18" t="s">
        <v>20</v>
      </c>
      <c r="B10" s="38"/>
      <c r="C10" s="39"/>
      <c r="D10" s="5">
        <f>IF(C$6=0,0,IF(C$6&gt;=B10,((B10-B9)/1000)*C10,IF(C$6&gt;B9,((C$6-B9)/1000)*C10,0)))</f>
        <v>0</v>
      </c>
    </row>
    <row r="11" spans="1:5" x14ac:dyDescent="0.2">
      <c r="A11" s="18" t="s">
        <v>21</v>
      </c>
      <c r="B11" s="38">
        <v>500000</v>
      </c>
      <c r="C11" s="38">
        <v>3.7</v>
      </c>
      <c r="D11" s="5">
        <f>IF(C$6=0,0,IF(C$6&gt;=B11,((C$6-B11)/1000)*C11,0))</f>
        <v>0</v>
      </c>
    </row>
    <row r="12" spans="1:5" x14ac:dyDescent="0.2">
      <c r="A12" t="s">
        <v>5</v>
      </c>
      <c r="D12" s="6">
        <f>SUM(D7:D11)</f>
        <v>0</v>
      </c>
    </row>
    <row r="13" spans="1:5" ht="13.5" thickBot="1" x14ac:dyDescent="0.25">
      <c r="A13" s="18"/>
      <c r="B13" s="18" t="s">
        <v>19</v>
      </c>
      <c r="C13" s="40">
        <v>200</v>
      </c>
      <c r="D13" s="36">
        <f>IF(D12&lt;C13,C13,D12)</f>
        <v>200</v>
      </c>
    </row>
    <row r="14" spans="1:5" ht="13.5" thickBot="1" x14ac:dyDescent="0.25">
      <c r="A14" t="s">
        <v>12</v>
      </c>
      <c r="D14" s="7">
        <f>IF(C$6=0,0,D13)</f>
        <v>0</v>
      </c>
    </row>
    <row r="16" spans="1:5" ht="13.5" thickBot="1" x14ac:dyDescent="0.25"/>
    <row r="17" spans="1:4" ht="13.5" thickBot="1" x14ac:dyDescent="0.25">
      <c r="A17" s="146" t="s">
        <v>31</v>
      </c>
      <c r="B17" s="147"/>
      <c r="C17" s="147"/>
      <c r="D17" s="148"/>
    </row>
    <row r="18" spans="1:4" x14ac:dyDescent="0.2">
      <c r="B18" s="18" t="s">
        <v>13</v>
      </c>
      <c r="C18" s="32">
        <f>'R-Rates'!C1</f>
        <v>0</v>
      </c>
    </row>
    <row r="19" spans="1:4" x14ac:dyDescent="0.2">
      <c r="B19" s="18" t="s">
        <v>11</v>
      </c>
      <c r="C19" s="4">
        <f>ROUNDUP(C18,-3)</f>
        <v>0</v>
      </c>
    </row>
    <row r="20" spans="1:4" x14ac:dyDescent="0.2">
      <c r="A20" s="18" t="s">
        <v>20</v>
      </c>
      <c r="B20" s="73">
        <f>'R-Tables'!B20</f>
        <v>100000</v>
      </c>
      <c r="C20" s="72">
        <f>'R-Tables'!C20</f>
        <v>5.5</v>
      </c>
      <c r="D20" s="5">
        <f>IF(C$19=0,0,IF(C$19&gt;=B20,(B20/1000)*C20,(C$19/1000)*C20))</f>
        <v>0</v>
      </c>
    </row>
    <row r="21" spans="1:4" x14ac:dyDescent="0.2">
      <c r="A21" s="18" t="s">
        <v>20</v>
      </c>
      <c r="B21" s="73">
        <f>'R-Tables'!B21</f>
        <v>500000</v>
      </c>
      <c r="C21" s="72">
        <f>'R-Tables'!C21</f>
        <v>4.8499999999999996</v>
      </c>
      <c r="D21" s="5">
        <f>IF(C$19=0,0,IF(C$19&gt;=B21,((B21-B20)/1000)*C21,IF(C$19&gt;B20,((C$19-B20)/1000)*C21,0)))</f>
        <v>0</v>
      </c>
    </row>
    <row r="22" spans="1:4" x14ac:dyDescent="0.2">
      <c r="A22" s="18" t="s">
        <v>20</v>
      </c>
      <c r="B22" s="73">
        <f>'R-Tables'!B22</f>
        <v>0</v>
      </c>
      <c r="C22" s="72">
        <f>'R-Tables'!C22</f>
        <v>0</v>
      </c>
      <c r="D22" s="5">
        <f>IF(C$19=0,0,IF(C$19&gt;=B22,((B22-B21)/1000)*C22,IF(C$19&gt;B21,((C$19-B21)/1000)*C22,0)))</f>
        <v>0</v>
      </c>
    </row>
    <row r="23" spans="1:4" x14ac:dyDescent="0.2">
      <c r="A23" s="18" t="s">
        <v>20</v>
      </c>
      <c r="B23" s="73">
        <f>'R-Tables'!B23</f>
        <v>0</v>
      </c>
      <c r="C23" s="72">
        <f>'R-Tables'!C23</f>
        <v>0</v>
      </c>
      <c r="D23" s="5">
        <f>IF(C$19=0,0,IF(C$19&gt;=B23,((B23-B22)/1000)*C23,IF(C$19&gt;B22,((C$19-B22)/1000)*C23,0)))</f>
        <v>0</v>
      </c>
    </row>
    <row r="24" spans="1:4" x14ac:dyDescent="0.2">
      <c r="A24" s="18" t="s">
        <v>21</v>
      </c>
      <c r="B24" s="73">
        <f>'R-Tables'!B24</f>
        <v>500000</v>
      </c>
      <c r="C24" s="72">
        <f>'R-Tables'!C24</f>
        <v>3.95</v>
      </c>
      <c r="D24" s="5">
        <f>IF(C$19=0,0,IF(C$19&gt;=B24,((C$19-B24)/1000)*C24,0))</f>
        <v>0</v>
      </c>
    </row>
    <row r="25" spans="1:4" x14ac:dyDescent="0.2">
      <c r="A25" t="s">
        <v>5</v>
      </c>
      <c r="D25" s="35">
        <f>SUM(D20:D24)</f>
        <v>0</v>
      </c>
    </row>
    <row r="26" spans="1:4" ht="13.5" thickBot="1" x14ac:dyDescent="0.25">
      <c r="B26" s="18" t="s">
        <v>19</v>
      </c>
      <c r="C26" s="72">
        <f>'R-Tables'!C26</f>
        <v>200</v>
      </c>
      <c r="D26" s="36">
        <f>IF(D25&lt;C26,C26,D25)</f>
        <v>200</v>
      </c>
    </row>
    <row r="27" spans="1:4" ht="13.5" thickBot="1" x14ac:dyDescent="0.25">
      <c r="A27" t="s">
        <v>14</v>
      </c>
      <c r="D27" s="37">
        <f>IF(C$19=0,0,D26)</f>
        <v>0</v>
      </c>
    </row>
    <row r="29" spans="1:4" ht="13.5" thickBot="1" x14ac:dyDescent="0.25"/>
    <row r="30" spans="1:4" ht="13.5" thickBot="1" x14ac:dyDescent="0.25">
      <c r="A30" s="146" t="s">
        <v>4</v>
      </c>
      <c r="B30" s="147"/>
      <c r="C30" s="147"/>
      <c r="D30" s="148"/>
    </row>
    <row r="31" spans="1:4" x14ac:dyDescent="0.2">
      <c r="B31" s="18" t="s">
        <v>13</v>
      </c>
      <c r="C31" s="32">
        <f>'R-Rates'!C1</f>
        <v>0</v>
      </c>
    </row>
    <row r="32" spans="1:4" x14ac:dyDescent="0.2">
      <c r="B32" s="18" t="s">
        <v>11</v>
      </c>
      <c r="C32" s="4">
        <f>ROUNDUP(C31,-3)</f>
        <v>0</v>
      </c>
    </row>
    <row r="33" spans="1:5" x14ac:dyDescent="0.2">
      <c r="A33" s="18" t="s">
        <v>20</v>
      </c>
      <c r="B33" s="73">
        <f>'R-Tables'!B33</f>
        <v>100000</v>
      </c>
      <c r="C33" s="72">
        <f>'R-Tables'!C33</f>
        <v>6.6</v>
      </c>
      <c r="D33" s="5">
        <f>IF(C$19=0,0,IF(C$19&gt;=B33,(B33/1000)*C33,(C$19/1000)*C33))</f>
        <v>0</v>
      </c>
    </row>
    <row r="34" spans="1:5" x14ac:dyDescent="0.2">
      <c r="A34" s="18" t="s">
        <v>20</v>
      </c>
      <c r="B34" s="73">
        <f>'R-Tables'!B34</f>
        <v>500000</v>
      </c>
      <c r="C34" s="72">
        <f>'R-Tables'!C34</f>
        <v>5.55</v>
      </c>
      <c r="D34" s="5">
        <f>IF(C$19=0,0,IF(C$19&gt;=B34,((B34-B33)/1000)*C34,IF(C$19&gt;B33,((C$19-B33)/1000)*C34,0)))</f>
        <v>0</v>
      </c>
    </row>
    <row r="35" spans="1:5" x14ac:dyDescent="0.2">
      <c r="A35" s="18" t="s">
        <v>20</v>
      </c>
      <c r="B35" s="73">
        <f>'R-Tables'!B35</f>
        <v>0</v>
      </c>
      <c r="C35" s="72">
        <f>'R-Tables'!C35</f>
        <v>0</v>
      </c>
      <c r="D35" s="5">
        <f>IF(C$19=0,0,IF(C$19&gt;=B35,((B35-B34)/1000)*C35,IF(C$19&gt;B34,((C$19-B34)/1000)*C35,0)))</f>
        <v>0</v>
      </c>
    </row>
    <row r="36" spans="1:5" x14ac:dyDescent="0.2">
      <c r="A36" s="18" t="s">
        <v>20</v>
      </c>
      <c r="B36" s="73">
        <f>'R-Tables'!B36</f>
        <v>0</v>
      </c>
      <c r="C36" s="72">
        <f>'R-Tables'!C36</f>
        <v>0</v>
      </c>
      <c r="D36" s="5">
        <f>IF(C$19=0,0,IF(C$19&gt;=B36,((B36-B35)/1000)*C36,IF(C$19&gt;B35,((C$19-B35)/1000)*C36,0)))</f>
        <v>0</v>
      </c>
    </row>
    <row r="37" spans="1:5" x14ac:dyDescent="0.2">
      <c r="A37" s="18" t="s">
        <v>21</v>
      </c>
      <c r="B37" s="73">
        <f>'R-Tables'!B37</f>
        <v>500000</v>
      </c>
      <c r="C37" s="72">
        <f>'R-Tables'!C37</f>
        <v>4.5</v>
      </c>
      <c r="D37" s="5">
        <f>IF(C$19=0,0,IF(C$19&gt;=B37,((C$19-B37)/1000)*C37,0))</f>
        <v>0</v>
      </c>
    </row>
    <row r="38" spans="1:5" x14ac:dyDescent="0.2">
      <c r="A38" t="s">
        <v>5</v>
      </c>
      <c r="B38" s="108"/>
      <c r="C38" s="108"/>
      <c r="D38" s="35">
        <f>SUM(D33:D37)</f>
        <v>0</v>
      </c>
    </row>
    <row r="39" spans="1:5" ht="13.5" thickBot="1" x14ac:dyDescent="0.25">
      <c r="B39" s="109" t="s">
        <v>19</v>
      </c>
      <c r="C39" s="72">
        <f>'R-Tables'!C39</f>
        <v>200</v>
      </c>
      <c r="D39" s="36">
        <f>IF(D38&lt;C39,C39,D38)</f>
        <v>200</v>
      </c>
    </row>
    <row r="40" spans="1:5" ht="13.5" thickBot="1" x14ac:dyDescent="0.25">
      <c r="A40" t="s">
        <v>15</v>
      </c>
      <c r="D40" s="37">
        <f>IF(C$19=0,0,D39)</f>
        <v>0</v>
      </c>
    </row>
    <row r="41" spans="1:5" x14ac:dyDescent="0.2">
      <c r="D41" s="9"/>
    </row>
    <row r="42" spans="1:5" ht="13.5" thickBot="1" x14ac:dyDescent="0.25">
      <c r="D42" s="9"/>
    </row>
    <row r="43" spans="1:5" ht="13.5" thickBot="1" x14ac:dyDescent="0.25">
      <c r="A43" s="152" t="s">
        <v>23</v>
      </c>
      <c r="B43" s="153"/>
      <c r="C43" s="154"/>
      <c r="D43" s="41">
        <v>200</v>
      </c>
    </row>
    <row r="44" spans="1:5" ht="13.5" thickBot="1" x14ac:dyDescent="0.25"/>
    <row r="45" spans="1:5" ht="13.5" thickBot="1" x14ac:dyDescent="0.25">
      <c r="A45" s="149" t="s">
        <v>17</v>
      </c>
      <c r="B45" s="150"/>
      <c r="C45" s="150"/>
      <c r="D45" s="151"/>
      <c r="E45" s="34"/>
    </row>
    <row r="46" spans="1:5" ht="13.5" thickBot="1" x14ac:dyDescent="0.25">
      <c r="A46" s="146" t="s">
        <v>114</v>
      </c>
      <c r="B46" s="147"/>
      <c r="C46" s="147"/>
      <c r="D46" s="148"/>
    </row>
    <row r="47" spans="1:5" hidden="1" x14ac:dyDescent="0.2">
      <c r="A47" t="s">
        <v>16</v>
      </c>
      <c r="D47" s="10">
        <f>D43</f>
        <v>200</v>
      </c>
    </row>
    <row r="48" spans="1:5" x14ac:dyDescent="0.2">
      <c r="B48" t="s">
        <v>13</v>
      </c>
      <c r="C48" s="33">
        <f>IF(C18=0,0,C18)</f>
        <v>0</v>
      </c>
    </row>
    <row r="49" spans="1:6" x14ac:dyDescent="0.2">
      <c r="B49" t="s">
        <v>11</v>
      </c>
      <c r="C49" s="4">
        <f>ROUNDUP(C48,-3)</f>
        <v>0</v>
      </c>
    </row>
    <row r="50" spans="1:6" x14ac:dyDescent="0.2">
      <c r="A50" s="18" t="s">
        <v>20</v>
      </c>
      <c r="B50" s="20">
        <f t="shared" ref="B50:C54" si="0">B7</f>
        <v>100000</v>
      </c>
      <c r="C50" s="19">
        <f t="shared" si="0"/>
        <v>4.8499999999999996</v>
      </c>
      <c r="D50" s="5">
        <f>IF(C$49=0,0,IF(C$49&gt;=B50,(B50/1000)*C50,(C$49/1000)*C50))</f>
        <v>0</v>
      </c>
    </row>
    <row r="51" spans="1:6" x14ac:dyDescent="0.2">
      <c r="A51" s="18" t="s">
        <v>20</v>
      </c>
      <c r="B51" s="20">
        <f t="shared" si="0"/>
        <v>500000</v>
      </c>
      <c r="C51" s="19">
        <f t="shared" si="0"/>
        <v>4</v>
      </c>
      <c r="D51" s="5">
        <f>IF(C$49=0,0,IF(C$49&gt;=B51,((B51-B50)/1000)*C51,IF(C$49&gt;B50,((C$49-B50)/1000)*C51,0)))</f>
        <v>0</v>
      </c>
    </row>
    <row r="52" spans="1:6" x14ac:dyDescent="0.2">
      <c r="A52" s="18" t="s">
        <v>20</v>
      </c>
      <c r="B52" s="20">
        <f t="shared" si="0"/>
        <v>0</v>
      </c>
      <c r="C52" s="19">
        <f t="shared" si="0"/>
        <v>0</v>
      </c>
      <c r="D52" s="5">
        <f>IF(C$49=0,0,IF(C$49&gt;=B52,((B52-B51)/1000)*C52,IF(C$49&gt;B51,((C$49-B51)/1000)*C52,0)))</f>
        <v>0</v>
      </c>
    </row>
    <row r="53" spans="1:6" x14ac:dyDescent="0.2">
      <c r="A53" s="18" t="s">
        <v>20</v>
      </c>
      <c r="B53" s="20">
        <f t="shared" si="0"/>
        <v>0</v>
      </c>
      <c r="C53" s="19">
        <f t="shared" si="0"/>
        <v>0</v>
      </c>
      <c r="D53" s="5">
        <f>IF(C$49=0,0,IF(C$49&gt;=B53,((B53-B52)/1000)*C53,IF(C$49&gt;B52,((C$49-B52)/1000)*C53,0)))</f>
        <v>0</v>
      </c>
    </row>
    <row r="54" spans="1:6" x14ac:dyDescent="0.2">
      <c r="A54" s="18" t="s">
        <v>21</v>
      </c>
      <c r="B54" s="20">
        <f t="shared" si="0"/>
        <v>500000</v>
      </c>
      <c r="C54" s="19">
        <f t="shared" si="0"/>
        <v>3.7</v>
      </c>
      <c r="D54" s="5">
        <f>IF(C$49=0,0,IF(C$49&gt;=B54,((C$49-B54)/1000)*C54,0))</f>
        <v>0</v>
      </c>
    </row>
    <row r="55" spans="1:6" x14ac:dyDescent="0.2">
      <c r="A55" t="s">
        <v>18</v>
      </c>
      <c r="D55" s="8">
        <f>SUM(D50:D54)</f>
        <v>0</v>
      </c>
    </row>
    <row r="56" spans="1:6" x14ac:dyDescent="0.2">
      <c r="B56" s="18" t="s">
        <v>19</v>
      </c>
      <c r="C56" s="21">
        <f>C13</f>
        <v>200</v>
      </c>
      <c r="D56" s="22">
        <f>IF(D55&lt;C56,C56,D55)</f>
        <v>200</v>
      </c>
    </row>
    <row r="57" spans="1:6" x14ac:dyDescent="0.2">
      <c r="A57" t="s">
        <v>44</v>
      </c>
      <c r="D57" s="11">
        <f>IF(C$49&lt;=0,0,D27)</f>
        <v>0</v>
      </c>
      <c r="F57" s="120">
        <f>D57+D58</f>
        <v>0</v>
      </c>
    </row>
    <row r="58" spans="1:6" ht="13.5" thickBot="1" x14ac:dyDescent="0.25">
      <c r="A58" t="s">
        <v>43</v>
      </c>
      <c r="D58" s="12">
        <f>IF(C$49&lt;=0,0,D14)</f>
        <v>0</v>
      </c>
      <c r="F58" s="120">
        <f>D57+F60</f>
        <v>0</v>
      </c>
    </row>
    <row r="59" spans="1:6" ht="13.5" thickBot="1" x14ac:dyDescent="0.25">
      <c r="A59" t="s">
        <v>35</v>
      </c>
      <c r="D59" s="13">
        <f>IF(C49=0,0,IF(C6&lt;C19,0,D57+D60-D58))</f>
        <v>0</v>
      </c>
      <c r="F59" s="43">
        <f>IF(F57&lt;=F58,1,0)</f>
        <v>1</v>
      </c>
    </row>
    <row r="60" spans="1:6" ht="13.5" thickBot="1" x14ac:dyDescent="0.25">
      <c r="A60" t="s">
        <v>45</v>
      </c>
      <c r="D60" s="49">
        <f>IF(C49=0,0,IF(F59=1,D58,D12-D55+D43))</f>
        <v>0</v>
      </c>
      <c r="F60" s="120">
        <f>IF(C49=0,0,D12-D55+D43)</f>
        <v>0</v>
      </c>
    </row>
    <row r="61" spans="1:6" ht="13.5" thickBot="1" x14ac:dyDescent="0.25"/>
    <row r="62" spans="1:6" ht="13.5" thickBot="1" x14ac:dyDescent="0.25">
      <c r="A62" s="146" t="s">
        <v>115</v>
      </c>
      <c r="B62" s="147"/>
      <c r="C62" s="147"/>
      <c r="D62" s="148"/>
    </row>
    <row r="63" spans="1:6" hidden="1" x14ac:dyDescent="0.2">
      <c r="A63" t="s">
        <v>16</v>
      </c>
      <c r="D63" s="10">
        <f>D47</f>
        <v>200</v>
      </c>
      <c r="F63" s="43"/>
    </row>
    <row r="64" spans="1:6" x14ac:dyDescent="0.2">
      <c r="B64" t="s">
        <v>13</v>
      </c>
      <c r="C64" s="33">
        <f>IF(C18=0,0,C18)</f>
        <v>0</v>
      </c>
    </row>
    <row r="65" spans="1:6" x14ac:dyDescent="0.2">
      <c r="B65" t="s">
        <v>11</v>
      </c>
      <c r="C65" s="4">
        <f>ROUNDUP(C64,-3)</f>
        <v>0</v>
      </c>
    </row>
    <row r="66" spans="1:6" x14ac:dyDescent="0.2">
      <c r="A66" s="18" t="s">
        <v>20</v>
      </c>
      <c r="B66" s="20">
        <f t="shared" ref="B66:C70" si="1">B7</f>
        <v>100000</v>
      </c>
      <c r="C66" s="19">
        <f t="shared" si="1"/>
        <v>4.8499999999999996</v>
      </c>
      <c r="D66" s="5">
        <f>IF(C$65=0,0,IF(C$65&gt;=B66,(B66/1000)*C66,(C$65/1000)*C66))</f>
        <v>0</v>
      </c>
    </row>
    <row r="67" spans="1:6" x14ac:dyDescent="0.2">
      <c r="A67" s="18" t="s">
        <v>20</v>
      </c>
      <c r="B67" s="20">
        <f t="shared" si="1"/>
        <v>500000</v>
      </c>
      <c r="C67" s="19">
        <f t="shared" si="1"/>
        <v>4</v>
      </c>
      <c r="D67" s="5">
        <f>IF(C$65=0,0,IF(C$65&gt;=B67,((B67-B66)/1000)*C67,IF(C$65&gt;B66,((C$65-B66)/1000)*C67,0)))</f>
        <v>0</v>
      </c>
    </row>
    <row r="68" spans="1:6" x14ac:dyDescent="0.2">
      <c r="A68" s="18" t="s">
        <v>20</v>
      </c>
      <c r="B68" s="20">
        <f t="shared" si="1"/>
        <v>0</v>
      </c>
      <c r="C68" s="19">
        <f t="shared" si="1"/>
        <v>0</v>
      </c>
      <c r="D68" s="5">
        <f>IF(C$65=0,0,IF(C$65&gt;=B68,((B68-B67)/1000)*C68,IF(C$65&gt;B67,((C$65-B67)/1000)*C68,0)))</f>
        <v>0</v>
      </c>
    </row>
    <row r="69" spans="1:6" x14ac:dyDescent="0.2">
      <c r="A69" s="18" t="s">
        <v>20</v>
      </c>
      <c r="B69" s="20">
        <f t="shared" si="1"/>
        <v>0</v>
      </c>
      <c r="C69" s="19">
        <f t="shared" si="1"/>
        <v>0</v>
      </c>
      <c r="D69" s="5">
        <f>IF(C$65=0,0,IF(C$65&gt;=B69,((B69-B68)/1000)*C69,IF(C$65&gt;B68,((C$65-B68)/1000)*C69,0)))</f>
        <v>0</v>
      </c>
    </row>
    <row r="70" spans="1:6" x14ac:dyDescent="0.2">
      <c r="A70" s="18" t="s">
        <v>21</v>
      </c>
      <c r="B70" s="20">
        <f t="shared" si="1"/>
        <v>500000</v>
      </c>
      <c r="C70" s="19">
        <f t="shared" si="1"/>
        <v>3.7</v>
      </c>
      <c r="D70" s="5">
        <f>IF(C$65=0,0,IF(C$65&gt;=B70,((C$65-B70)/1000)*C70,0))</f>
        <v>0</v>
      </c>
    </row>
    <row r="71" spans="1:6" x14ac:dyDescent="0.2">
      <c r="A71" t="s">
        <v>18</v>
      </c>
      <c r="D71" s="8">
        <f>SUM(D66:D70)</f>
        <v>0</v>
      </c>
    </row>
    <row r="72" spans="1:6" x14ac:dyDescent="0.2">
      <c r="B72" s="18" t="s">
        <v>19</v>
      </c>
      <c r="C72" s="21">
        <f>C13</f>
        <v>200</v>
      </c>
      <c r="D72" s="22">
        <f>IF(D71&lt;C72,C72,D71)</f>
        <v>200</v>
      </c>
    </row>
    <row r="73" spans="1:6" x14ac:dyDescent="0.2">
      <c r="A73" t="s">
        <v>15</v>
      </c>
      <c r="D73" s="11">
        <f>IF(C$65&lt;=0,0,D40)</f>
        <v>0</v>
      </c>
      <c r="F73" s="120">
        <f>D73+D74</f>
        <v>0</v>
      </c>
    </row>
    <row r="74" spans="1:6" ht="13.5" thickBot="1" x14ac:dyDescent="0.25">
      <c r="A74" t="s">
        <v>43</v>
      </c>
      <c r="D74" s="12">
        <f>IF(C$65&lt;=0,0,D14)</f>
        <v>0</v>
      </c>
      <c r="F74" s="120">
        <f>D73+F76</f>
        <v>0</v>
      </c>
    </row>
    <row r="75" spans="1:6" ht="13.5" thickBot="1" x14ac:dyDescent="0.25">
      <c r="A75" t="s">
        <v>34</v>
      </c>
      <c r="D75" s="13">
        <f>IF(C65=0,0,IF(C6&lt;C19,0,D73+D76-D74))</f>
        <v>0</v>
      </c>
      <c r="F75" s="43">
        <f>IF(F73&lt;=F74,1,0)</f>
        <v>1</v>
      </c>
    </row>
    <row r="76" spans="1:6" ht="13.5" thickBot="1" x14ac:dyDescent="0.25">
      <c r="A76" t="s">
        <v>45</v>
      </c>
      <c r="D76" s="49">
        <f>IF(C65=0,0,IF(F59=1,D74,D12-D71+D43))</f>
        <v>0</v>
      </c>
      <c r="F76" s="71">
        <f>IF(C65=0,0,D12-D71+D43)</f>
        <v>0</v>
      </c>
    </row>
  </sheetData>
  <sheetProtection selectLockedCells="1"/>
  <mergeCells count="10">
    <mergeCell ref="A43:C43"/>
    <mergeCell ref="A45:D45"/>
    <mergeCell ref="A46:D46"/>
    <mergeCell ref="A62:D62"/>
    <mergeCell ref="A1:D1"/>
    <mergeCell ref="A2:D2"/>
    <mergeCell ref="A3:D3"/>
    <mergeCell ref="A4:D4"/>
    <mergeCell ref="A17:D17"/>
    <mergeCell ref="A30:D30"/>
  </mergeCells>
  <printOptions horizontalCentered="1"/>
  <pageMargins left="0.5" right="0.5" top="0.75" bottom="1" header="0.5" footer="0.5"/>
  <pageSetup orientation="landscape" r:id="rId1"/>
  <headerFooter alignWithMargins="0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I53"/>
  <sheetViews>
    <sheetView workbookViewId="0">
      <selection activeCell="D26" sqref="D26"/>
    </sheetView>
  </sheetViews>
  <sheetFormatPr defaultColWidth="9.140625" defaultRowHeight="12.75" x14ac:dyDescent="0.2"/>
  <cols>
    <col min="1" max="2" width="20.42578125" customWidth="1"/>
    <col min="3" max="3" width="16.5703125" customWidth="1"/>
    <col min="4" max="5" width="20.5703125" customWidth="1"/>
    <col min="6" max="6" width="5.85546875" customWidth="1"/>
    <col min="7" max="7" width="20.7109375" customWidth="1"/>
    <col min="9" max="9" width="23.140625" customWidth="1"/>
  </cols>
  <sheetData>
    <row r="1" spans="1:9" ht="13.5" thickBot="1" x14ac:dyDescent="0.25">
      <c r="A1" s="162" t="s">
        <v>22</v>
      </c>
      <c r="B1" s="163"/>
      <c r="C1" s="163"/>
      <c r="D1" s="163"/>
      <c r="E1" s="163"/>
      <c r="G1" t="s">
        <v>24</v>
      </c>
      <c r="I1" t="s">
        <v>57</v>
      </c>
    </row>
    <row r="2" spans="1:9" ht="13.5" thickBot="1" x14ac:dyDescent="0.25">
      <c r="A2" s="164"/>
      <c r="B2" s="164"/>
      <c r="C2" s="164"/>
      <c r="D2" s="164"/>
      <c r="E2" s="69"/>
      <c r="G2" s="96" t="s">
        <v>63</v>
      </c>
      <c r="I2" s="45" t="s">
        <v>33</v>
      </c>
    </row>
    <row r="3" spans="1:9" ht="13.5" thickBot="1" x14ac:dyDescent="0.25">
      <c r="A3" s="165" t="s">
        <v>48</v>
      </c>
      <c r="B3" s="166"/>
      <c r="C3" s="166"/>
      <c r="D3" s="166"/>
      <c r="E3" s="167"/>
      <c r="I3" s="45" t="s">
        <v>60</v>
      </c>
    </row>
    <row r="4" spans="1:9" ht="13.5" thickBot="1" x14ac:dyDescent="0.25">
      <c r="A4" s="168" t="s">
        <v>49</v>
      </c>
      <c r="B4" s="169"/>
      <c r="C4" s="169"/>
      <c r="D4" s="70" t="s">
        <v>50</v>
      </c>
      <c r="E4" s="70" t="s">
        <v>51</v>
      </c>
      <c r="I4" s="45" t="s">
        <v>61</v>
      </c>
    </row>
    <row r="5" spans="1:9" x14ac:dyDescent="0.2">
      <c r="C5" s="18" t="s">
        <v>13</v>
      </c>
      <c r="D5" s="32">
        <f>Commercial!D10</f>
        <v>0</v>
      </c>
      <c r="E5" s="71">
        <f>Commercial!D11</f>
        <v>0</v>
      </c>
    </row>
    <row r="6" spans="1:9" x14ac:dyDescent="0.2">
      <c r="C6" s="18" t="s">
        <v>11</v>
      </c>
      <c r="D6" s="4">
        <f>ROUNDUP(D5,-3)</f>
        <v>0</v>
      </c>
      <c r="E6" s="4">
        <f>ROUNDUP(E5,-3)</f>
        <v>0</v>
      </c>
    </row>
    <row r="7" spans="1:9" x14ac:dyDescent="0.2">
      <c r="A7" s="18" t="s">
        <v>20</v>
      </c>
      <c r="B7" s="38">
        <v>5000000</v>
      </c>
      <c r="C7" s="39">
        <v>2.1</v>
      </c>
      <c r="D7" s="5">
        <f>IF(D$6=0,0,IF(D$6&gt;=B7,(B7/1000)*C7,(D$6/1000)*C7))</f>
        <v>0</v>
      </c>
      <c r="E7" s="5">
        <f>IF(E$6=0,0,IF(E$6&gt;=B7,(B7/1000)*C7,(E$6/1000)*C7))</f>
        <v>0</v>
      </c>
    </row>
    <row r="8" spans="1:9" x14ac:dyDescent="0.2">
      <c r="A8" s="18" t="s">
        <v>20</v>
      </c>
      <c r="B8" s="38">
        <v>10000000</v>
      </c>
      <c r="C8" s="39">
        <v>1.35</v>
      </c>
      <c r="D8" s="5">
        <f t="shared" ref="D8:D15" si="0">IF(D$6=0,0,IF(D$6&gt;=B8,((B8-B7)/1000)*C8,IF(D$6&gt;B7,((D$6-B7)/1000)*C8,0)))</f>
        <v>0</v>
      </c>
      <c r="E8" s="5">
        <f>IF(E$6=0,0,IF(E$6&gt;=B8,((B8-B7)/1000)*C8,IF(E$6&gt;B7,((E$6-B7)/1000)*C8,0)))</f>
        <v>0</v>
      </c>
    </row>
    <row r="9" spans="1:9" x14ac:dyDescent="0.2">
      <c r="A9" s="18" t="s">
        <v>20</v>
      </c>
      <c r="B9" s="38">
        <v>30000000</v>
      </c>
      <c r="C9" s="39">
        <v>0.6</v>
      </c>
      <c r="D9" s="5">
        <f t="shared" si="0"/>
        <v>0</v>
      </c>
      <c r="E9" s="5">
        <f t="shared" ref="E9:E15" si="1">IF(E$6=0,0,IF(E$6&gt;=B9,((B9-B8)/1000)*C9,IF(E$6&gt;B8,((E$6-B8)/1000)*C9,0)))</f>
        <v>0</v>
      </c>
    </row>
    <row r="10" spans="1:9" x14ac:dyDescent="0.2">
      <c r="A10" s="18" t="s">
        <v>20</v>
      </c>
      <c r="B10" s="38">
        <v>40000000</v>
      </c>
      <c r="C10" s="39">
        <v>0.55000000000000004</v>
      </c>
      <c r="D10" s="5">
        <f t="shared" si="0"/>
        <v>0</v>
      </c>
      <c r="E10" s="5">
        <f t="shared" si="1"/>
        <v>0</v>
      </c>
    </row>
    <row r="11" spans="1:9" x14ac:dyDescent="0.2">
      <c r="A11" s="18" t="s">
        <v>20</v>
      </c>
      <c r="B11" s="38">
        <v>70000000</v>
      </c>
      <c r="C11" s="39">
        <v>0.45</v>
      </c>
      <c r="D11" s="5">
        <f t="shared" si="0"/>
        <v>0</v>
      </c>
      <c r="E11" s="5">
        <f t="shared" si="1"/>
        <v>0</v>
      </c>
    </row>
    <row r="12" spans="1:9" x14ac:dyDescent="0.2">
      <c r="A12" s="18" t="s">
        <v>20</v>
      </c>
      <c r="B12" s="38">
        <v>99999999</v>
      </c>
      <c r="C12" s="39">
        <v>0.32</v>
      </c>
      <c r="D12" s="5">
        <f t="shared" si="0"/>
        <v>0</v>
      </c>
      <c r="E12" s="5">
        <f t="shared" si="1"/>
        <v>0</v>
      </c>
    </row>
    <row r="13" spans="1:9" x14ac:dyDescent="0.2">
      <c r="A13" s="18" t="s">
        <v>20</v>
      </c>
      <c r="B13" s="38"/>
      <c r="C13" s="39"/>
      <c r="D13" s="5">
        <f t="shared" si="0"/>
        <v>0</v>
      </c>
      <c r="E13" s="5">
        <f t="shared" si="1"/>
        <v>0</v>
      </c>
    </row>
    <row r="14" spans="1:9" x14ac:dyDescent="0.2">
      <c r="A14" s="18" t="s">
        <v>20</v>
      </c>
      <c r="B14" s="38"/>
      <c r="C14" s="39"/>
      <c r="D14" s="5">
        <f t="shared" si="0"/>
        <v>0</v>
      </c>
      <c r="E14" s="5">
        <f t="shared" si="1"/>
        <v>0</v>
      </c>
    </row>
    <row r="15" spans="1:9" x14ac:dyDescent="0.2">
      <c r="A15" s="18" t="s">
        <v>20</v>
      </c>
      <c r="B15" s="38"/>
      <c r="C15" s="39"/>
      <c r="D15" s="5">
        <f t="shared" si="0"/>
        <v>0</v>
      </c>
      <c r="E15" s="5">
        <f t="shared" si="1"/>
        <v>0</v>
      </c>
    </row>
    <row r="16" spans="1:9" x14ac:dyDescent="0.2">
      <c r="A16" s="18" t="s">
        <v>52</v>
      </c>
      <c r="B16" s="38">
        <v>99999999</v>
      </c>
      <c r="C16" s="72">
        <v>0</v>
      </c>
      <c r="D16" s="5">
        <f>IF(D$6=0,0,IF(D$6&gt;=B16,((D$6-B16)/1000)*C16,0))</f>
        <v>0</v>
      </c>
      <c r="E16" s="5">
        <f>IF(E$6=0,0,IF(E$6&gt;=B16,((E$6-B16)/1000)*C16,0))</f>
        <v>0</v>
      </c>
    </row>
    <row r="17" spans="1:6" x14ac:dyDescent="0.2">
      <c r="A17" s="18" t="s">
        <v>53</v>
      </c>
      <c r="B17" s="73">
        <f>B16</f>
        <v>99999999</v>
      </c>
      <c r="C17" s="19">
        <v>0</v>
      </c>
      <c r="D17" s="5">
        <f>IF($C17=0,0,(D$6/1000)*$C17)</f>
        <v>0</v>
      </c>
      <c r="E17" s="5">
        <f>IF($C17=0,0,(E$6/1000)*$C17)</f>
        <v>0</v>
      </c>
    </row>
    <row r="18" spans="1:6" x14ac:dyDescent="0.2">
      <c r="A18" t="s">
        <v>5</v>
      </c>
      <c r="D18" s="35">
        <f>IF(D6&gt;=100000000,0,SUM(D7:D13))</f>
        <v>0</v>
      </c>
      <c r="E18" s="35">
        <f>IF(E6&gt;=100000000,0,SUM(E7:E13))</f>
        <v>0</v>
      </c>
    </row>
    <row r="19" spans="1:6" ht="13.5" thickBot="1" x14ac:dyDescent="0.25">
      <c r="B19" s="18" t="s">
        <v>19</v>
      </c>
      <c r="C19" s="39">
        <v>500</v>
      </c>
      <c r="D19" s="36">
        <f>IF(D6&gt;=100000000,0,IF(D18&lt;$C19,$C19,D18))</f>
        <v>500</v>
      </c>
      <c r="E19" s="36">
        <f>IF(D6&gt;=100000000,0,IF(E18&lt;$C19,$C19,E18))</f>
        <v>500</v>
      </c>
    </row>
    <row r="20" spans="1:6" ht="13.5" thickBot="1" x14ac:dyDescent="0.25">
      <c r="C20" s="74" t="s">
        <v>54</v>
      </c>
      <c r="D20" s="75">
        <f>IF(D$6=0,0,D19)</f>
        <v>0</v>
      </c>
      <c r="E20" s="75">
        <f>IF(E$6=0,0,E19)</f>
        <v>0</v>
      </c>
    </row>
    <row r="21" spans="1:6" x14ac:dyDescent="0.2">
      <c r="A21" s="85"/>
      <c r="B21" s="85"/>
      <c r="C21" s="39"/>
      <c r="D21" s="76"/>
      <c r="E21" s="76"/>
    </row>
    <row r="22" spans="1:6" ht="13.5" thickBot="1" x14ac:dyDescent="0.25">
      <c r="A22" s="86"/>
      <c r="C22" s="39"/>
      <c r="D22" s="5"/>
      <c r="E22" s="5"/>
    </row>
    <row r="23" spans="1:6" ht="13.5" thickBot="1" x14ac:dyDescent="0.25">
      <c r="A23" s="77" t="s">
        <v>23</v>
      </c>
      <c r="B23" s="78"/>
      <c r="C23" s="79"/>
      <c r="D23" s="170">
        <v>200</v>
      </c>
      <c r="E23" s="171"/>
    </row>
    <row r="24" spans="1:6" ht="13.5" thickBot="1" x14ac:dyDescent="0.25">
      <c r="C24" s="19"/>
      <c r="D24" s="19"/>
      <c r="E24" s="19"/>
    </row>
    <row r="25" spans="1:6" ht="13.5" thickBot="1" x14ac:dyDescent="0.25">
      <c r="A25" s="165" t="s">
        <v>55</v>
      </c>
      <c r="B25" s="166"/>
      <c r="C25" s="167"/>
      <c r="D25" s="75">
        <f>D20</f>
        <v>0</v>
      </c>
      <c r="E25" s="75">
        <f>IF(E6=0,0,IF(E6&gt;D6,E20-D20+D23,D23))</f>
        <v>0</v>
      </c>
      <c r="F25" t="s">
        <v>64</v>
      </c>
    </row>
    <row r="26" spans="1:6" ht="13.5" thickBot="1" x14ac:dyDescent="0.25">
      <c r="A26" s="159" t="s">
        <v>56</v>
      </c>
      <c r="B26" s="160"/>
      <c r="C26" s="161"/>
      <c r="D26" s="92">
        <f>IF(D5&gt;=E5,D20,IF(D5=0,0,D23))</f>
        <v>0</v>
      </c>
      <c r="E26" s="92">
        <f>IF(E5&gt;D5,E20,IF(E5=0,0,D23))</f>
        <v>0</v>
      </c>
      <c r="F26" t="s">
        <v>65</v>
      </c>
    </row>
    <row r="27" spans="1:6" x14ac:dyDescent="0.2">
      <c r="A27" s="25"/>
      <c r="B27" s="25"/>
      <c r="C27" s="25"/>
      <c r="D27" s="76"/>
      <c r="E27" s="76"/>
    </row>
    <row r="28" spans="1:6" x14ac:dyDescent="0.2">
      <c r="B28" s="18"/>
      <c r="C28" s="80"/>
    </row>
    <row r="29" spans="1:6" x14ac:dyDescent="0.2">
      <c r="A29" s="25"/>
      <c r="B29" s="25"/>
      <c r="C29" s="25"/>
      <c r="D29" s="25"/>
      <c r="E29" s="25"/>
    </row>
    <row r="30" spans="1:6" x14ac:dyDescent="0.2">
      <c r="D30" s="81"/>
      <c r="E30" s="81"/>
    </row>
    <row r="31" spans="1:6" x14ac:dyDescent="0.2">
      <c r="D31" s="82"/>
      <c r="E31" s="82"/>
    </row>
    <row r="32" spans="1:6" x14ac:dyDescent="0.2">
      <c r="D32" s="83"/>
      <c r="E32" s="83"/>
    </row>
    <row r="33" spans="4:5" x14ac:dyDescent="0.2">
      <c r="D33" s="84"/>
      <c r="E33" s="84"/>
    </row>
    <row r="34" spans="4:5" x14ac:dyDescent="0.2">
      <c r="D34" s="84"/>
      <c r="E34" s="84"/>
    </row>
    <row r="53" hidden="1" x14ac:dyDescent="0.2"/>
  </sheetData>
  <sheetProtection selectLockedCells="1"/>
  <mergeCells count="7">
    <mergeCell ref="A26:C26"/>
    <mergeCell ref="A1:E1"/>
    <mergeCell ref="A2:D2"/>
    <mergeCell ref="A3:E3"/>
    <mergeCell ref="A4:C4"/>
    <mergeCell ref="D23:E23"/>
    <mergeCell ref="A25:C25"/>
  </mergeCells>
  <printOptions horizontalCentered="1"/>
  <pageMargins left="0.5" right="0.5" top="0.75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7346624F76B24BB374EF1EBBF8259D" ma:contentTypeVersion="18" ma:contentTypeDescription="Create a new document." ma:contentTypeScope="" ma:versionID="30694464d61fabafc63b566e1e580fd9">
  <xsd:schema xmlns:xsd="http://www.w3.org/2001/XMLSchema" xmlns:xs="http://www.w3.org/2001/XMLSchema" xmlns:p="http://schemas.microsoft.com/office/2006/metadata/properties" xmlns:ns2="e38ba395-163c-4ad1-9250-dca3bf4f6689" xmlns:ns3="04d296d6-5d12-4885-87ee-a4a24236afee" targetNamespace="http://schemas.microsoft.com/office/2006/metadata/properties" ma:root="true" ma:fieldsID="ce31b7bac1ea4433751e946909ea82e5" ns2:_="" ns3:_="">
    <xsd:import namespace="e38ba395-163c-4ad1-9250-dca3bf4f6689"/>
    <xsd:import namespace="04d296d6-5d12-4885-87ee-a4a24236af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ba395-163c-4ad1-9250-dca3bf4f6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cea12b2-7a11-4ae4-a8a5-5aadff2fa7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296d6-5d12-4885-87ee-a4a24236af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b5f7988-92fc-40fc-8578-f7bf72316f1a}" ma:internalName="TaxCatchAll" ma:showField="CatchAllData" ma:web="04d296d6-5d12-4885-87ee-a4a24236af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d296d6-5d12-4885-87ee-a4a24236afee" xsi:nil="true"/>
    <lcf76f155ced4ddcb4097134ff3c332f xmlns="e38ba395-163c-4ad1-9250-dca3bf4f668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B4CBBA-2089-49F4-81FB-340C386A7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8ba395-163c-4ad1-9250-dca3bf4f6689"/>
    <ds:schemaRef ds:uri="04d296d6-5d12-4885-87ee-a4a24236af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2C344-6333-438B-AE8A-D6E8252829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63D1BC-579D-4B30-A8F9-0E5BA9598474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44446f55-9400-4a5a-b402-21a14903eb76"/>
    <ds:schemaRef ds:uri="http://schemas.openxmlformats.org/package/2006/metadata/core-properties"/>
    <ds:schemaRef ds:uri="a8b9bd87-2e8a-4422-8771-aead7b4b42dc"/>
    <ds:schemaRef ds:uri="http://purl.org/dc/elements/1.1/"/>
    <ds:schemaRef ds:uri="04d296d6-5d12-4885-87ee-a4a24236afee"/>
    <ds:schemaRef ds:uri="e38ba395-163c-4ad1-9250-dca3bf4f66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Residential</vt:lpstr>
      <vt:lpstr>Commercial</vt:lpstr>
      <vt:lpstr>R-Rates</vt:lpstr>
      <vt:lpstr>R-Tables</vt:lpstr>
      <vt:lpstr>R-Tables Enhanced LTP</vt:lpstr>
      <vt:lpstr>C-Tables</vt:lpstr>
      <vt:lpstr>CTransactions</vt:lpstr>
      <vt:lpstr>Owners</vt:lpstr>
      <vt:lpstr>PolicyType</vt:lpstr>
      <vt:lpstr>Commercial!Print_Area</vt:lpstr>
      <vt:lpstr>Residential!Print_Area</vt:lpstr>
      <vt:lpstr>'R-Rates'!Print_Area</vt:lpstr>
      <vt:lpstr>Remit</vt:lpstr>
      <vt:lpstr>Transactions</vt:lpstr>
    </vt:vector>
  </TitlesOfParts>
  <Company>STG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Rhee McCallum</dc:creator>
  <cp:lastModifiedBy>Willa Wilson</cp:lastModifiedBy>
  <cp:lastPrinted>2024-01-29T19:40:06Z</cp:lastPrinted>
  <dcterms:created xsi:type="dcterms:W3CDTF">2012-08-03T19:22:13Z</dcterms:created>
  <dcterms:modified xsi:type="dcterms:W3CDTF">2024-04-10T13:06:33Z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0x010100CEE0BB7BD9F0E342A641372F9AF3CE56</vt:lpwstr>
  </property>
</Properties>
</file>